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15.xml" ContentType="application/vnd.openxmlformats-officedocument.drawingml.chartshapes+xml"/>
  <Override PartName="/xl/drawings/drawing16.xml" ContentType="application/vnd.openxmlformats-officedocument.drawingml.chartshapes+xml"/>
  <Override PartName="/xl/drawings/drawing14.xml" ContentType="application/vnd.openxmlformats-officedocument.drawingml.chartshapes+xml"/>
  <Override PartName="/xl/drawings/drawing19.xml" ContentType="application/vnd.openxmlformats-officedocument.drawingml.chartshapes+xml"/>
  <Override PartName="/xl/drawings/drawing17.xml" ContentType="application/vnd.openxmlformats-officedocument.drawingml.chartshapes+xml"/>
  <Override PartName="/xl/drawings/drawing11.xml" ContentType="application/vnd.openxmlformats-officedocument.drawingml.chartshapes+xml"/>
  <Override PartName="/xl/drawings/drawing20.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drawings/drawing12.xml" ContentType="application/vnd.openxmlformats-officedocument.drawingml.chartshapes+xml"/>
  <Override PartName="/xl/drawings/drawing22.xml" ContentType="application/vnd.openxmlformats-officedocument.drawingml.chartshapes+xml"/>
  <Override PartName="/xl/drawings/drawing4.xml" ContentType="application/vnd.openxmlformats-officedocument.drawingml.chartshapes+xml"/>
  <Override PartName="/xl/drawings/drawing33.xml" ContentType="application/vnd.openxmlformats-officedocument.drawingml.chartshapes+xml"/>
  <Override PartName="/xl/drawings/drawing34.xml" ContentType="application/vnd.openxmlformats-officedocument.drawingml.chartshapes+xml"/>
  <Override PartName="/xl/drawings/drawing35.xml" ContentType="application/vnd.openxmlformats-officedocument.drawingml.chartshapes+xml"/>
  <Override PartName="/xl/drawings/drawing32.xml" ContentType="application/vnd.openxmlformats-officedocument.drawingml.chartshapes+xml"/>
  <Override PartName="/xl/drawings/drawing30.xml" ContentType="application/vnd.openxmlformats-officedocument.drawingml.chartshapes+xml"/>
  <Override PartName="/xl/drawings/drawing29.xml" ContentType="application/vnd.openxmlformats-officedocument.drawingml.chartshapes+xml"/>
  <Override PartName="/xl/drawings/drawing24.xml" ContentType="application/vnd.openxmlformats-officedocument.drawingml.chartshapes+xml"/>
  <Override PartName="/xl/drawings/drawing25.xml" ContentType="application/vnd.openxmlformats-officedocument.drawingml.chartshapes+xml"/>
  <Override PartName="/xl/drawings/drawing26.xml" ContentType="application/vnd.openxmlformats-officedocument.drawingml.chartshapes+xml"/>
  <Override PartName="/xl/drawings/drawing27.xml" ContentType="application/vnd.openxmlformats-officedocument.drawingml.chartshapes+xml"/>
  <Override PartName="/xl/drawings/drawing21.xml" ContentType="application/vnd.openxmlformats-officedocument.drawingml.chartshapes+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charts/chart41.xml" ContentType="application/vnd.openxmlformats-officedocument.drawingml.chart+xml"/>
  <Override PartName="/xl/drawings/drawing31.xml" ContentType="application/vnd.openxmlformats-officedocument.drawing+xml"/>
  <Override PartName="/xl/charts/chart40.xml" ContentType="application/vnd.openxmlformats-officedocument.drawingml.chart+xml"/>
  <Override PartName="/xl/charts/chart39.xml" ContentType="application/vnd.openxmlformats-officedocument.drawingml.chart+xml"/>
  <Override PartName="/xl/charts/chart43.xml" ContentType="application/vnd.openxmlformats-officedocument.drawingml.chart+xml"/>
  <Override PartName="/xl/worksheets/sheet6.xml" ContentType="application/vnd.openxmlformats-officedocument.spreadsheetml.worksheet+xml"/>
  <Override PartName="/xl/charts/chart44.xml" ContentType="application/vnd.openxmlformats-officedocument.drawingml.char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chart45.xml" ContentType="application/vnd.openxmlformats-officedocument.drawingml.chart+xml"/>
  <Override PartName="/xl/worksheets/sheet5.xml" ContentType="application/vnd.openxmlformats-officedocument.spreadsheetml.worksheet+xml"/>
  <Override PartName="/xl/worksheets/sheet8.xml" ContentType="application/vnd.openxmlformats-officedocument.spreadsheetml.worksheet+xml"/>
  <Override PartName="/xl/charts/chart42.xml" ContentType="application/vnd.openxmlformats-officedocument.drawingml.chart+xml"/>
  <Override PartName="/xl/worksheets/sheet9.xml" ContentType="application/vnd.openxmlformats-officedocument.spreadsheetml.worksheet+xml"/>
  <Override PartName="/xl/drawings/drawing13.xml" ContentType="application/vnd.openxmlformats-officedocument.drawing+xml"/>
  <Override PartName="/xl/charts/chart20.xml" ContentType="application/vnd.openxmlformats-officedocument.drawingml.chart+xml"/>
  <Override PartName="/xl/charts/chart19.xml" ContentType="application/vnd.openxmlformats-officedocument.drawingml.chart+xml"/>
  <Override PartName="/xl/drawings/drawing1.xml" ContentType="application/vnd.openxmlformats-officedocument.drawing+xml"/>
  <Override PartName="/xl/charts/chart18.xml" ContentType="application/vnd.openxmlformats-officedocument.drawingml.chart+xml"/>
  <Override PartName="/xl/charts/chart1.xml" ContentType="application/vnd.openxmlformats-officedocument.drawingml.chart+xml"/>
  <Override PartName="/xl/charts/chart17.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6.xml" ContentType="application/vnd.openxmlformats-officedocument.drawingml.chart+xml"/>
  <Override PartName="/xl/drawings/drawing18.xml" ContentType="application/vnd.openxmlformats-officedocument.drawing+xml"/>
  <Override PartName="/xl/styles.xml" ContentType="application/vnd.openxmlformats-officedocument.spreadsheetml.styles+xml"/>
  <Override PartName="/xl/charts/chart25.xml" ContentType="application/vnd.openxmlformats-officedocument.drawingml.chart+xml"/>
  <Override PartName="/xl/sharedStrings.xml" ContentType="application/vnd.openxmlformats-officedocument.spreadsheetml.sharedStrings+xml"/>
  <Override PartName="/xl/charts/chart24.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2.xml" ContentType="application/vnd.openxmlformats-officedocument.drawingml.chart+xml"/>
  <Override PartName="/xl/charts/chart5.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10.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3.xml" ContentType="application/vnd.openxmlformats-officedocument.drawingml.chart+xml"/>
  <Override PartName="/xl/charts/chart14.xml" ContentType="application/vnd.openxmlformats-officedocument.drawingml.chart+xml"/>
  <Override PartName="/xl/charts/chart13.xml" ContentType="application/vnd.openxmlformats-officedocument.drawingml.chart+xml"/>
  <Override PartName="/xl/charts/chart12.xml" ContentType="application/vnd.openxmlformats-officedocument.drawingml.chart+xml"/>
  <Override PartName="/xl/charts/chart11.xml" ContentType="application/vnd.openxmlformats-officedocument.drawingml.chart+xml"/>
  <Override PartName="/xl/charts/chart27.xml" ContentType="application/vnd.openxmlformats-officedocument.drawingml.chart+xml"/>
  <Override PartName="/xl/charts/chart38.xml" ContentType="application/vnd.openxmlformats-officedocument.drawingml.chart+xml"/>
  <Override PartName="/xl/charts/chart28.xml" ContentType="application/vnd.openxmlformats-officedocument.drawingml.chart+xml"/>
  <Override PartName="/xl/worksheets/sheet12.xml" ContentType="application/vnd.openxmlformats-officedocument.spreadsheetml.worksheet+xml"/>
  <Override PartName="/xl/charts/chart33.xml" ContentType="application/vnd.openxmlformats-officedocument.drawingml.chart+xml"/>
  <Override PartName="/xl/worksheets/sheet13.xml" ContentType="application/vnd.openxmlformats-officedocument.spreadsheetml.worksheet+xml"/>
  <Override PartName="/xl/charts/chart32.xml" ContentType="application/vnd.openxmlformats-officedocument.drawingml.chart+xml"/>
  <Override PartName="/xl/charts/chart34.xml" ContentType="application/vnd.openxmlformats-officedocument.drawingml.chart+xml"/>
  <Override PartName="/xl/worksheets/sheet11.xml" ContentType="application/vnd.openxmlformats-officedocument.spreadsheetml.worksheet+xml"/>
  <Override PartName="/xl/charts/chart35.xml" ContentType="application/vnd.openxmlformats-officedocument.drawingml.chart+xml"/>
  <Override PartName="/xl/charts/chart37.xml" ContentType="application/vnd.openxmlformats-officedocument.drawingml.chart+xml"/>
  <Override PartName="/xl/charts/chart36.xml" ContentType="application/vnd.openxmlformats-officedocument.drawingml.chart+xml"/>
  <Override PartName="/xl/drawings/drawing28.xml" ContentType="application/vnd.openxmlformats-officedocument.drawing+xml"/>
  <Override PartName="/xl/worksheets/sheet10.xml" ContentType="application/vnd.openxmlformats-officedocument.spreadsheetml.worksheet+xml"/>
  <Override PartName="/xl/charts/chart31.xml" ContentType="application/vnd.openxmlformats-officedocument.drawingml.chart+xml"/>
  <Override PartName="/xl/theme/theme1.xml" ContentType="application/vnd.openxmlformats-officedocument.theme+xml"/>
  <Override PartName="/xl/drawings/drawing23.xml" ContentType="application/vnd.openxmlformats-officedocument.drawing+xml"/>
  <Override PartName="/xl/charts/chart29.xml" ContentType="application/vnd.openxmlformats-officedocument.drawingml.chart+xml"/>
  <Override PartName="/xl/worksheets/sheet14.xml" ContentType="application/vnd.openxmlformats-officedocument.spreadsheetml.worksheet+xml"/>
  <Override PartName="/xl/charts/chart30.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charts/colors1.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style3.xml" ContentType="application/vnd.ms-office.chartstyle+xml"/>
  <Override PartName="/xl/charts/colors3.xml" ContentType="application/vnd.ms-office.chartcolorstyle+xml"/>
  <Override PartName="/xl/charts/style2.xml" ContentType="application/vnd.ms-office.chartstyle+xml"/>
  <Override PartName="/xl/charts/colors2.xml" ContentType="application/vnd.ms-office.chartcolorstyle+xml"/>
  <Override PartName="/xl/charts/style1.xml" ContentType="application/vnd.ms-office.chartstyle+xml"/>
  <Override PartName="/xl/charts/colors4.xml" ContentType="application/vnd.ms-office.chartcolorsty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0" yWindow="0" windowWidth="19200" windowHeight="7065" tabRatio="864" activeTab="13"/>
  </bookViews>
  <sheets>
    <sheet name="All Summaries" sheetId="1" r:id="rId1"/>
    <sheet name="QPI Analysis" sheetId="17" r:id="rId2"/>
    <sheet name="Goals" sheetId="16" r:id="rId3"/>
    <sheet name="Unreported Baselines" sheetId="15" r:id="rId4"/>
    <sheet name="Cat 3 Measures" sheetId="9" r:id="rId5"/>
    <sheet name="BH (T+G)" sheetId="5" r:id="rId6"/>
    <sheet name="CC (T+G)" sheetId="3" r:id="rId7"/>
    <sheet name="Navigation (T+G)" sheetId="7" r:id="rId8"/>
    <sheet name="EC (T+G)" sheetId="2" r:id="rId9"/>
    <sheet name="PC (T+G)" sheetId="4" r:id="rId10"/>
    <sheet name="SC (T+G)" sheetId="6" r:id="rId11"/>
    <sheet name="P&amp;W (T+G)" sheetId="12" r:id="rId12"/>
    <sheet name="General (T+G)" sheetId="8" r:id="rId13"/>
    <sheet name="All Tables" sheetId="13" r:id="rId14"/>
  </sheets>
  <externalReferences>
    <externalReference r:id="rId15"/>
    <externalReference r:id="rId16"/>
  </externalReferences>
  <definedNames>
    <definedName name="_xlnm._FilterDatabase" localSheetId="0" hidden="1">'All Summaries'!$A$1:$AZ$175</definedName>
    <definedName name="_xlnm._FilterDatabase" localSheetId="4" hidden="1">'Cat 3 Measures'!$A$1:$B$118</definedName>
    <definedName name="_xlnm._FilterDatabase" localSheetId="3" hidden="1">'Unreported Baselines'!$A$1:$Z$50</definedName>
  </definedNames>
  <calcPr calcId="145621" calcOnSave="0"/>
</workbook>
</file>

<file path=xl/calcChain.xml><?xml version="1.0" encoding="utf-8"?>
<calcChain xmlns="http://schemas.openxmlformats.org/spreadsheetml/2006/main">
  <c r="G35" i="17" l="1"/>
  <c r="G33" i="17"/>
  <c r="G32" i="17"/>
  <c r="G29" i="17"/>
  <c r="G28" i="17"/>
  <c r="G27" i="17"/>
  <c r="D35" i="17"/>
  <c r="D34" i="17"/>
  <c r="D33" i="17"/>
  <c r="D32" i="17"/>
  <c r="D30" i="17"/>
  <c r="D28" i="17"/>
  <c r="D27" i="17"/>
  <c r="G47" i="17"/>
  <c r="D47" i="17"/>
  <c r="H23" i="17" l="1"/>
  <c r="B35" i="17" l="1"/>
  <c r="X59" i="1"/>
  <c r="Z3" i="1"/>
  <c r="X3" i="1"/>
  <c r="Y3" i="1"/>
  <c r="X56" i="1" l="1"/>
  <c r="F47" i="17" l="1"/>
  <c r="E47" i="17"/>
  <c r="C47" i="17"/>
  <c r="B47" i="17"/>
  <c r="D46" i="17"/>
  <c r="G45" i="17"/>
  <c r="D45" i="17"/>
  <c r="G44" i="17"/>
  <c r="D44" i="17"/>
  <c r="D43" i="17"/>
  <c r="D42" i="17"/>
  <c r="G41" i="17"/>
  <c r="D41" i="17"/>
  <c r="G40" i="17"/>
  <c r="D40" i="17"/>
  <c r="G39" i="17"/>
  <c r="D39" i="17"/>
  <c r="AJ175" i="1"/>
  <c r="AJ163" i="1"/>
  <c r="AJ126" i="1"/>
  <c r="AJ90" i="1"/>
  <c r="AD2" i="1"/>
  <c r="AC2" i="1"/>
  <c r="F35" i="17"/>
  <c r="E35" i="17"/>
  <c r="C35" i="17"/>
  <c r="G23" i="17"/>
  <c r="I23" i="17"/>
  <c r="F23" i="17"/>
  <c r="E23" i="17"/>
  <c r="C23" i="17"/>
  <c r="D22" i="17"/>
  <c r="H21" i="17"/>
  <c r="D21" i="17"/>
  <c r="H20" i="17"/>
  <c r="D20" i="17"/>
  <c r="D19" i="17"/>
  <c r="D18" i="17"/>
  <c r="H17" i="17"/>
  <c r="D17" i="17"/>
  <c r="H16" i="17"/>
  <c r="D16" i="17"/>
  <c r="H15" i="17"/>
  <c r="Y175" i="1"/>
  <c r="Y174" i="1"/>
  <c r="Y173" i="1"/>
  <c r="Y172" i="1"/>
  <c r="Y171" i="1"/>
  <c r="Y170" i="1"/>
  <c r="Y169" i="1"/>
  <c r="Y168" i="1"/>
  <c r="Y167"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Y10" i="1"/>
  <c r="Y9" i="1"/>
  <c r="Y8" i="1"/>
  <c r="Y7" i="1"/>
  <c r="Y6" i="1"/>
  <c r="Y5" i="1"/>
  <c r="Y4" i="1"/>
  <c r="Y2" i="1"/>
  <c r="X2" i="1"/>
  <c r="AH174" i="1" l="1"/>
  <c r="AJ174" i="1" s="1"/>
  <c r="AH173" i="1"/>
  <c r="AH172" i="1"/>
  <c r="AJ172" i="1" s="1"/>
  <c r="AH171" i="1"/>
  <c r="AH170" i="1"/>
  <c r="AH169" i="1"/>
  <c r="AH168" i="1"/>
  <c r="AH167" i="1"/>
  <c r="AH165" i="1"/>
  <c r="AH164" i="1"/>
  <c r="AH162" i="1"/>
  <c r="AJ162" i="1" s="1"/>
  <c r="AH161" i="1"/>
  <c r="AH160" i="1"/>
  <c r="AH159" i="1"/>
  <c r="AH158" i="1"/>
  <c r="AH157" i="1"/>
  <c r="AH156" i="1"/>
  <c r="AH155" i="1"/>
  <c r="AH154" i="1"/>
  <c r="AH153" i="1"/>
  <c r="AH152" i="1"/>
  <c r="AH151" i="1"/>
  <c r="AH150" i="1"/>
  <c r="AH149" i="1"/>
  <c r="AH148" i="1"/>
  <c r="AH147" i="1"/>
  <c r="AH146" i="1"/>
  <c r="AH145" i="1"/>
  <c r="AH144" i="1"/>
  <c r="AH143" i="1"/>
  <c r="AH142" i="1"/>
  <c r="AH141" i="1"/>
  <c r="AH140" i="1"/>
  <c r="AH139" i="1"/>
  <c r="AH137" i="1"/>
  <c r="AH136" i="1"/>
  <c r="AH135" i="1"/>
  <c r="AH134" i="1"/>
  <c r="AH133" i="1"/>
  <c r="AH132" i="1"/>
  <c r="AH131" i="1"/>
  <c r="AH130" i="1"/>
  <c r="AH129" i="1"/>
  <c r="AJ129" i="1" s="1"/>
  <c r="AH128" i="1"/>
  <c r="AH127" i="1"/>
  <c r="AJ127" i="1" s="1"/>
  <c r="AH125" i="1"/>
  <c r="AH124" i="1"/>
  <c r="AJ124" i="1" s="1"/>
  <c r="AH123" i="1"/>
  <c r="AJ123" i="1" s="1"/>
  <c r="AH122" i="1"/>
  <c r="AH121" i="1"/>
  <c r="AH120" i="1"/>
  <c r="AH119" i="1"/>
  <c r="AH118" i="1"/>
  <c r="AH117" i="1"/>
  <c r="AH116" i="1"/>
  <c r="AH115" i="1"/>
  <c r="AH114" i="1"/>
  <c r="AH113" i="1"/>
  <c r="AH112" i="1"/>
  <c r="AH111" i="1"/>
  <c r="AJ111" i="1" s="1"/>
  <c r="AH110" i="1"/>
  <c r="AJ110" i="1" s="1"/>
  <c r="AH109" i="1"/>
  <c r="AH108" i="1"/>
  <c r="AH107" i="1"/>
  <c r="AH106" i="1"/>
  <c r="AH105" i="1"/>
  <c r="AH104" i="1"/>
  <c r="AH103" i="1"/>
  <c r="AH102" i="1"/>
  <c r="AH100" i="1"/>
  <c r="AH99" i="1"/>
  <c r="AJ99" i="1" s="1"/>
  <c r="AH98" i="1"/>
  <c r="AJ98" i="1" s="1"/>
  <c r="AH97" i="1"/>
  <c r="AH96" i="1"/>
  <c r="AH95" i="1"/>
  <c r="AJ95" i="1" s="1"/>
  <c r="AH94" i="1"/>
  <c r="AJ94" i="1" s="1"/>
  <c r="AH93" i="1"/>
  <c r="AH92" i="1"/>
  <c r="AH91" i="1"/>
  <c r="AH89" i="1"/>
  <c r="AH88" i="1"/>
  <c r="AH87" i="1"/>
  <c r="AH86" i="1"/>
  <c r="AJ86" i="1" s="1"/>
  <c r="AH85" i="1"/>
  <c r="AJ85" i="1" s="1"/>
  <c r="AH84" i="1"/>
  <c r="AJ84" i="1" s="1"/>
  <c r="AH83" i="1"/>
  <c r="AJ83" i="1" s="1"/>
  <c r="AH82" i="1"/>
  <c r="AH81" i="1"/>
  <c r="AH80" i="1"/>
  <c r="AH79" i="1"/>
  <c r="AH78" i="1"/>
  <c r="AH77" i="1"/>
  <c r="AH76" i="1"/>
  <c r="AH75" i="1"/>
  <c r="AH74" i="1"/>
  <c r="AH73" i="1"/>
  <c r="AH72" i="1"/>
  <c r="AH71" i="1"/>
  <c r="AH70" i="1"/>
  <c r="AH69" i="1"/>
  <c r="AH68" i="1"/>
  <c r="AH67" i="1"/>
  <c r="AH66" i="1"/>
  <c r="AH65" i="1"/>
  <c r="AJ65" i="1" s="1"/>
  <c r="AH64" i="1"/>
  <c r="AJ64" i="1" s="1"/>
  <c r="AH63" i="1"/>
  <c r="AJ63" i="1" s="1"/>
  <c r="AH62" i="1"/>
  <c r="AJ62" i="1" s="1"/>
  <c r="AH61" i="1"/>
  <c r="AJ61" i="1" s="1"/>
  <c r="AH60" i="1"/>
  <c r="AH59" i="1"/>
  <c r="AH58" i="1"/>
  <c r="AJ58" i="1" s="1"/>
  <c r="AH57" i="1"/>
  <c r="AJ57" i="1" s="1"/>
  <c r="AH56" i="1"/>
  <c r="AH55" i="1"/>
  <c r="AH54" i="1"/>
  <c r="AH53" i="1"/>
  <c r="AH52" i="1"/>
  <c r="AH51" i="1"/>
  <c r="AH50" i="1"/>
  <c r="AH49" i="1"/>
  <c r="AH48" i="1"/>
  <c r="AH47" i="1"/>
  <c r="AJ47" i="1" s="1"/>
  <c r="AH46" i="1"/>
  <c r="AH45" i="1"/>
  <c r="AH44" i="1"/>
  <c r="AH43" i="1"/>
  <c r="AJ43" i="1" s="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J13" i="1" s="1"/>
  <c r="AH12" i="1"/>
  <c r="AJ12" i="1" s="1"/>
  <c r="AH11" i="1"/>
  <c r="AH10" i="1"/>
  <c r="AH9" i="1"/>
  <c r="AH8" i="1"/>
  <c r="AJ8" i="1" s="1"/>
  <c r="AH7" i="1"/>
  <c r="AH6" i="1"/>
  <c r="AH5" i="1"/>
  <c r="AH4" i="1"/>
  <c r="AH3" i="1"/>
  <c r="AJ3" i="1" s="1"/>
  <c r="AH2" i="1"/>
  <c r="AJ2" i="1" s="1"/>
  <c r="AG175" i="1"/>
  <c r="AG174" i="1"/>
  <c r="AG173" i="1"/>
  <c r="AG172" i="1"/>
  <c r="AG171" i="1"/>
  <c r="AG170" i="1"/>
  <c r="AG169" i="1"/>
  <c r="AG168" i="1"/>
  <c r="AG167" i="1"/>
  <c r="AG165" i="1"/>
  <c r="AG164" i="1"/>
  <c r="AG163" i="1"/>
  <c r="AG162" i="1"/>
  <c r="AG161" i="1"/>
  <c r="AG160" i="1"/>
  <c r="AG159" i="1"/>
  <c r="AG158" i="1"/>
  <c r="AG157" i="1"/>
  <c r="AG156" i="1"/>
  <c r="AG155" i="1"/>
  <c r="AG154" i="1"/>
  <c r="AG153" i="1"/>
  <c r="AG152" i="1"/>
  <c r="AG151" i="1"/>
  <c r="AG150" i="1"/>
  <c r="AG149" i="1"/>
  <c r="AG148" i="1"/>
  <c r="AG147" i="1"/>
  <c r="AG146" i="1"/>
  <c r="AG145" i="1"/>
  <c r="AG144" i="1"/>
  <c r="AG143" i="1"/>
  <c r="AG142" i="1"/>
  <c r="AG141" i="1"/>
  <c r="AG140" i="1"/>
  <c r="AG139" i="1"/>
  <c r="AG138" i="1"/>
  <c r="AG137" i="1"/>
  <c r="AG136" i="1"/>
  <c r="AG135" i="1"/>
  <c r="AG134" i="1"/>
  <c r="AG133" i="1"/>
  <c r="AG132" i="1"/>
  <c r="AG131" i="1"/>
  <c r="AG130" i="1"/>
  <c r="AG129" i="1"/>
  <c r="AG128" i="1"/>
  <c r="AG127" i="1"/>
  <c r="AG126" i="1"/>
  <c r="AG125" i="1"/>
  <c r="AG124" i="1"/>
  <c r="AG123" i="1"/>
  <c r="AG122" i="1"/>
  <c r="AG121" i="1"/>
  <c r="AG120" i="1"/>
  <c r="AG119" i="1"/>
  <c r="AG118" i="1"/>
  <c r="AG117" i="1"/>
  <c r="AG116" i="1"/>
  <c r="AG115" i="1"/>
  <c r="AG114" i="1"/>
  <c r="AG113" i="1"/>
  <c r="AG112" i="1"/>
  <c r="AG111" i="1"/>
  <c r="AG110" i="1"/>
  <c r="AG109" i="1"/>
  <c r="AG108" i="1"/>
  <c r="AG107" i="1"/>
  <c r="AG106" i="1"/>
  <c r="AG105" i="1"/>
  <c r="AG104" i="1"/>
  <c r="AG103" i="1"/>
  <c r="AG102" i="1"/>
  <c r="AG100" i="1"/>
  <c r="AG99" i="1"/>
  <c r="AG98" i="1"/>
  <c r="AG97" i="1"/>
  <c r="AG96" i="1"/>
  <c r="AG95" i="1"/>
  <c r="AG94" i="1"/>
  <c r="AG93" i="1"/>
  <c r="AG92" i="1"/>
  <c r="AG91" i="1"/>
  <c r="AG90" i="1"/>
  <c r="AG89" i="1"/>
  <c r="AG88" i="1"/>
  <c r="AG87" i="1"/>
  <c r="AG86" i="1"/>
  <c r="AG85" i="1"/>
  <c r="AG84" i="1"/>
  <c r="AG83" i="1"/>
  <c r="AG82" i="1"/>
  <c r="AG81" i="1"/>
  <c r="AG80" i="1"/>
  <c r="AG79" i="1"/>
  <c r="AG78" i="1"/>
  <c r="AG77" i="1"/>
  <c r="AG76" i="1"/>
  <c r="AG75" i="1"/>
  <c r="AG74" i="1"/>
  <c r="AG73" i="1"/>
  <c r="AG72" i="1"/>
  <c r="AG71" i="1"/>
  <c r="AG70" i="1"/>
  <c r="AG69" i="1"/>
  <c r="AG68" i="1"/>
  <c r="AG67" i="1"/>
  <c r="AG66" i="1"/>
  <c r="AG65" i="1"/>
  <c r="AG64"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8" i="1"/>
  <c r="AG37" i="1"/>
  <c r="AG36" i="1"/>
  <c r="AG35" i="1"/>
  <c r="AG34" i="1"/>
  <c r="AG33" i="1"/>
  <c r="AG32" i="1"/>
  <c r="AG31" i="1"/>
  <c r="AG30" i="1"/>
  <c r="AG29" i="1"/>
  <c r="AG28" i="1"/>
  <c r="AG27" i="1"/>
  <c r="AG26" i="1"/>
  <c r="AG25" i="1"/>
  <c r="AG24" i="1"/>
  <c r="AG23" i="1"/>
  <c r="AG22" i="1"/>
  <c r="AG21" i="1"/>
  <c r="AG20" i="1"/>
  <c r="AG19" i="1"/>
  <c r="AG18" i="1"/>
  <c r="AG17" i="1"/>
  <c r="AG16" i="1"/>
  <c r="AG15" i="1"/>
  <c r="AG14" i="1"/>
  <c r="AG13" i="1"/>
  <c r="AG12" i="1"/>
  <c r="AG11" i="1"/>
  <c r="AG10" i="1"/>
  <c r="AG9" i="1"/>
  <c r="AG8" i="1"/>
  <c r="AG7" i="1"/>
  <c r="AG6" i="1"/>
  <c r="AG5" i="1"/>
  <c r="AG4" i="1"/>
  <c r="AG3" i="1"/>
  <c r="AG2" i="1"/>
  <c r="AI2" i="1" s="1"/>
  <c r="AD173" i="1"/>
  <c r="AD171" i="1"/>
  <c r="AD170" i="1"/>
  <c r="AD169" i="1"/>
  <c r="AD168" i="1"/>
  <c r="AD167" i="1"/>
  <c r="AD165" i="1"/>
  <c r="AD164" i="1"/>
  <c r="AD161" i="1"/>
  <c r="AJ161" i="1" s="1"/>
  <c r="AD160" i="1"/>
  <c r="AJ160" i="1" s="1"/>
  <c r="AD159" i="1"/>
  <c r="AD158" i="1"/>
  <c r="AJ158" i="1" s="1"/>
  <c r="AD157" i="1"/>
  <c r="AJ157" i="1" s="1"/>
  <c r="AD156" i="1"/>
  <c r="AJ156" i="1" s="1"/>
  <c r="AD155" i="1"/>
  <c r="AJ155" i="1" s="1"/>
  <c r="AD154" i="1"/>
  <c r="AJ154" i="1" s="1"/>
  <c r="AD153" i="1"/>
  <c r="AJ153" i="1" s="1"/>
  <c r="AD152" i="1"/>
  <c r="AJ152" i="1" s="1"/>
  <c r="AD151" i="1"/>
  <c r="AJ151" i="1" s="1"/>
  <c r="AD150" i="1"/>
  <c r="AJ150" i="1" s="1"/>
  <c r="AD149" i="1"/>
  <c r="AJ149" i="1" s="1"/>
  <c r="AD148" i="1"/>
  <c r="AJ148" i="1" s="1"/>
  <c r="AD147" i="1"/>
  <c r="AJ147" i="1" s="1"/>
  <c r="AD146" i="1"/>
  <c r="AJ146" i="1" s="1"/>
  <c r="AD145" i="1"/>
  <c r="AJ145" i="1" s="1"/>
  <c r="AD144" i="1"/>
  <c r="AJ144" i="1" s="1"/>
  <c r="AD143" i="1"/>
  <c r="AJ143" i="1" s="1"/>
  <c r="AD142" i="1"/>
  <c r="AJ142" i="1" s="1"/>
  <c r="AD141" i="1"/>
  <c r="AJ141" i="1" s="1"/>
  <c r="AD140" i="1"/>
  <c r="AJ140" i="1" s="1"/>
  <c r="AD139" i="1"/>
  <c r="AJ139" i="1" s="1"/>
  <c r="AD138" i="1"/>
  <c r="AD137" i="1"/>
  <c r="AD136" i="1"/>
  <c r="AD135" i="1"/>
  <c r="AD134" i="1"/>
  <c r="AD133" i="1"/>
  <c r="AD132" i="1"/>
  <c r="AD131" i="1"/>
  <c r="AD130" i="1"/>
  <c r="AD128" i="1"/>
  <c r="AJ128" i="1" s="1"/>
  <c r="AD125" i="1"/>
  <c r="AD122" i="1"/>
  <c r="AD121" i="1"/>
  <c r="AD120" i="1"/>
  <c r="AD119" i="1"/>
  <c r="AD118" i="1"/>
  <c r="AD117" i="1"/>
  <c r="AD116" i="1"/>
  <c r="AD115" i="1"/>
  <c r="AD114" i="1"/>
  <c r="AD113" i="1"/>
  <c r="AD112" i="1"/>
  <c r="AD109" i="1"/>
  <c r="AD108" i="1"/>
  <c r="AD107" i="1"/>
  <c r="AD106" i="1"/>
  <c r="AD105" i="1"/>
  <c r="AD104" i="1"/>
  <c r="AD103" i="1"/>
  <c r="AD102" i="1"/>
  <c r="AD100" i="1"/>
  <c r="AD97" i="1"/>
  <c r="AD96" i="1"/>
  <c r="AD93" i="1"/>
  <c r="AD92" i="1"/>
  <c r="AD91" i="1"/>
  <c r="AD89" i="1"/>
  <c r="AD88" i="1"/>
  <c r="AD87" i="1"/>
  <c r="AD82" i="1"/>
  <c r="AD81" i="1"/>
  <c r="AD80" i="1"/>
  <c r="AD79" i="1"/>
  <c r="AD78" i="1"/>
  <c r="AD77" i="1"/>
  <c r="AD76" i="1"/>
  <c r="AD75" i="1"/>
  <c r="AD74" i="1"/>
  <c r="AD73" i="1"/>
  <c r="AD72" i="1"/>
  <c r="AD71" i="1"/>
  <c r="AD70" i="1"/>
  <c r="AD69" i="1"/>
  <c r="AD68" i="1"/>
  <c r="AD67" i="1"/>
  <c r="AD66" i="1"/>
  <c r="AD60" i="1"/>
  <c r="AD59" i="1"/>
  <c r="AD56" i="1"/>
  <c r="AJ56" i="1" s="1"/>
  <c r="AD55" i="1"/>
  <c r="AJ55" i="1" s="1"/>
  <c r="AD54" i="1"/>
  <c r="AD53" i="1"/>
  <c r="AJ53" i="1" s="1"/>
  <c r="AD52" i="1"/>
  <c r="AJ52" i="1" s="1"/>
  <c r="AD51" i="1"/>
  <c r="AD50" i="1"/>
  <c r="AJ50" i="1" s="1"/>
  <c r="AD49" i="1"/>
  <c r="AJ49" i="1" s="1"/>
  <c r="AD48" i="1"/>
  <c r="AJ48" i="1" s="1"/>
  <c r="AD46" i="1"/>
  <c r="AD45" i="1"/>
  <c r="AD44"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1" i="1"/>
  <c r="AJ11" i="1" s="1"/>
  <c r="AD10" i="1"/>
  <c r="AJ10" i="1" s="1"/>
  <c r="AD9" i="1"/>
  <c r="AJ9" i="1" s="1"/>
  <c r="AD7" i="1"/>
  <c r="AD6" i="1"/>
  <c r="AD5" i="1"/>
  <c r="AD4" i="1"/>
  <c r="AC175" i="1"/>
  <c r="AC174" i="1"/>
  <c r="AC173" i="1"/>
  <c r="AC172" i="1"/>
  <c r="AC171" i="1"/>
  <c r="AC170" i="1"/>
  <c r="AC169" i="1"/>
  <c r="AC168" i="1"/>
  <c r="AC167" i="1"/>
  <c r="AC165" i="1"/>
  <c r="AC164" i="1"/>
  <c r="AC163" i="1"/>
  <c r="AC162" i="1"/>
  <c r="AC161" i="1"/>
  <c r="AC160" i="1"/>
  <c r="AC159" i="1"/>
  <c r="AC158" i="1"/>
  <c r="AC157" i="1"/>
  <c r="AC156" i="1"/>
  <c r="AC155" i="1"/>
  <c r="AC154" i="1"/>
  <c r="AC153" i="1"/>
  <c r="AC152" i="1"/>
  <c r="AC151" i="1"/>
  <c r="AC150" i="1"/>
  <c r="AC149" i="1"/>
  <c r="AC148" i="1"/>
  <c r="AC147" i="1"/>
  <c r="AC146" i="1"/>
  <c r="AC145" i="1"/>
  <c r="AC144" i="1"/>
  <c r="AC143" i="1"/>
  <c r="AC142" i="1"/>
  <c r="AC141" i="1"/>
  <c r="AC140" i="1"/>
  <c r="AC139" i="1"/>
  <c r="AI139" i="1" s="1"/>
  <c r="AC138" i="1"/>
  <c r="AC137" i="1"/>
  <c r="AC136" i="1"/>
  <c r="AC135" i="1"/>
  <c r="AI135" i="1" s="1"/>
  <c r="AC134" i="1"/>
  <c r="AC133" i="1"/>
  <c r="AC132" i="1"/>
  <c r="AC131" i="1"/>
  <c r="AI131" i="1" s="1"/>
  <c r="AC130" i="1"/>
  <c r="AC129" i="1"/>
  <c r="AC128" i="1"/>
  <c r="AC127" i="1"/>
  <c r="AI127" i="1" s="1"/>
  <c r="AC126" i="1"/>
  <c r="AC125" i="1"/>
  <c r="AC124" i="1"/>
  <c r="AC123" i="1"/>
  <c r="AI123" i="1" s="1"/>
  <c r="AC122" i="1"/>
  <c r="AC121" i="1"/>
  <c r="AC120" i="1"/>
  <c r="AC119" i="1"/>
  <c r="AI119" i="1" s="1"/>
  <c r="AC118" i="1"/>
  <c r="AC117" i="1"/>
  <c r="AC116" i="1"/>
  <c r="AC115" i="1"/>
  <c r="AI115" i="1" s="1"/>
  <c r="AC114" i="1"/>
  <c r="AC113" i="1"/>
  <c r="AC112" i="1"/>
  <c r="AC111" i="1"/>
  <c r="AI111" i="1" s="1"/>
  <c r="AC110" i="1"/>
  <c r="AC109" i="1"/>
  <c r="AC108" i="1"/>
  <c r="AC107" i="1"/>
  <c r="AI107" i="1" s="1"/>
  <c r="AC106" i="1"/>
  <c r="AC105" i="1"/>
  <c r="AC104" i="1"/>
  <c r="AC103" i="1"/>
  <c r="AI103" i="1" s="1"/>
  <c r="AC102" i="1"/>
  <c r="AC100" i="1"/>
  <c r="AC99" i="1"/>
  <c r="AC98" i="1"/>
  <c r="AI98" i="1" s="1"/>
  <c r="AC97" i="1"/>
  <c r="AC96" i="1"/>
  <c r="AC95" i="1"/>
  <c r="AC94" i="1"/>
  <c r="AI94" i="1" s="1"/>
  <c r="AC93" i="1"/>
  <c r="AC92" i="1"/>
  <c r="AC91" i="1"/>
  <c r="AC90" i="1"/>
  <c r="AI90" i="1" s="1"/>
  <c r="AC89" i="1"/>
  <c r="AC88" i="1"/>
  <c r="AC87" i="1"/>
  <c r="AC86" i="1"/>
  <c r="AI86" i="1" s="1"/>
  <c r="AC85" i="1"/>
  <c r="AC84" i="1"/>
  <c r="AC83" i="1"/>
  <c r="AC82" i="1"/>
  <c r="AI82" i="1" s="1"/>
  <c r="AC81" i="1"/>
  <c r="AC80" i="1"/>
  <c r="AC79" i="1"/>
  <c r="AC78" i="1"/>
  <c r="AI78" i="1" s="1"/>
  <c r="AC77" i="1"/>
  <c r="AC76" i="1"/>
  <c r="AC75" i="1"/>
  <c r="AC74" i="1"/>
  <c r="AI74" i="1" s="1"/>
  <c r="AC73" i="1"/>
  <c r="AC72" i="1"/>
  <c r="AC71" i="1"/>
  <c r="AC70" i="1"/>
  <c r="AI70" i="1" s="1"/>
  <c r="AC69" i="1"/>
  <c r="AC68" i="1"/>
  <c r="AC67" i="1"/>
  <c r="AC66" i="1"/>
  <c r="AI66" i="1" s="1"/>
  <c r="AC65" i="1"/>
  <c r="AC64" i="1"/>
  <c r="AC63" i="1"/>
  <c r="AC62" i="1"/>
  <c r="AI62" i="1" s="1"/>
  <c r="AC61" i="1"/>
  <c r="AC60" i="1"/>
  <c r="AC59" i="1"/>
  <c r="AC58" i="1"/>
  <c r="AI58" i="1" s="1"/>
  <c r="AC57" i="1"/>
  <c r="AC56" i="1"/>
  <c r="AC55" i="1"/>
  <c r="AC54" i="1"/>
  <c r="AI54" i="1" s="1"/>
  <c r="AC53" i="1"/>
  <c r="AC52" i="1"/>
  <c r="AC51" i="1"/>
  <c r="AC50" i="1"/>
  <c r="AI50" i="1" s="1"/>
  <c r="AC49" i="1"/>
  <c r="AC48" i="1"/>
  <c r="AC47" i="1"/>
  <c r="AC46" i="1"/>
  <c r="AI46" i="1" s="1"/>
  <c r="AC45" i="1"/>
  <c r="AC44" i="1"/>
  <c r="AC43" i="1"/>
  <c r="AC42" i="1"/>
  <c r="AI42" i="1" s="1"/>
  <c r="AC41" i="1"/>
  <c r="AC40" i="1"/>
  <c r="AC39" i="1"/>
  <c r="AC38" i="1"/>
  <c r="AI38" i="1" s="1"/>
  <c r="AC37" i="1"/>
  <c r="AC36" i="1"/>
  <c r="AC35" i="1"/>
  <c r="AC34" i="1"/>
  <c r="AI34" i="1" s="1"/>
  <c r="AC33" i="1"/>
  <c r="AC32" i="1"/>
  <c r="AC31" i="1"/>
  <c r="AC30" i="1"/>
  <c r="AI30" i="1" s="1"/>
  <c r="AC29" i="1"/>
  <c r="AC28" i="1"/>
  <c r="AC27" i="1"/>
  <c r="AC26" i="1"/>
  <c r="AI26" i="1" s="1"/>
  <c r="AC25" i="1"/>
  <c r="AC24" i="1"/>
  <c r="AC23" i="1"/>
  <c r="AC22" i="1"/>
  <c r="AI22" i="1" s="1"/>
  <c r="AC21" i="1"/>
  <c r="AC20" i="1"/>
  <c r="AC19" i="1"/>
  <c r="AC18" i="1"/>
  <c r="AI18" i="1" s="1"/>
  <c r="AC17" i="1"/>
  <c r="AC16" i="1"/>
  <c r="AC15" i="1"/>
  <c r="AC14" i="1"/>
  <c r="AI14" i="1" s="1"/>
  <c r="AC13" i="1"/>
  <c r="AC12" i="1"/>
  <c r="AC11" i="1"/>
  <c r="AC10" i="1"/>
  <c r="AI10" i="1" s="1"/>
  <c r="AC9" i="1"/>
  <c r="AC8" i="1"/>
  <c r="AC7" i="1"/>
  <c r="AC6" i="1"/>
  <c r="AI6" i="1" s="1"/>
  <c r="AC5" i="1"/>
  <c r="AC4" i="1"/>
  <c r="AI4" i="1" s="1"/>
  <c r="AC3" i="1"/>
  <c r="AI143" i="1" l="1"/>
  <c r="AI147" i="1"/>
  <c r="AI151" i="1"/>
  <c r="AI155" i="1"/>
  <c r="AI159" i="1"/>
  <c r="AI163" i="1"/>
  <c r="AI168" i="1"/>
  <c r="AI172" i="1"/>
  <c r="AJ112" i="1"/>
  <c r="AJ116" i="1"/>
  <c r="AJ120" i="1"/>
  <c r="AJ133" i="1"/>
  <c r="AJ137" i="1"/>
  <c r="AJ168" i="1"/>
  <c r="AJ5" i="1"/>
  <c r="AJ45" i="1"/>
  <c r="AJ69" i="1"/>
  <c r="AJ73" i="1"/>
  <c r="AJ77" i="1"/>
  <c r="AJ81" i="1"/>
  <c r="AJ89" i="1"/>
  <c r="AJ103" i="1"/>
  <c r="AJ107" i="1"/>
  <c r="AJ6" i="1"/>
  <c r="AJ17" i="1"/>
  <c r="AJ21" i="1"/>
  <c r="AJ25" i="1"/>
  <c r="AJ29" i="1"/>
  <c r="AJ33" i="1"/>
  <c r="AJ37" i="1"/>
  <c r="AJ41" i="1"/>
  <c r="AJ46" i="1"/>
  <c r="AJ66" i="1"/>
  <c r="AJ70" i="1"/>
  <c r="AJ74" i="1"/>
  <c r="AJ78" i="1"/>
  <c r="AJ82" i="1"/>
  <c r="AJ91" i="1"/>
  <c r="AJ104" i="1"/>
  <c r="AJ108" i="1"/>
  <c r="AI5" i="1"/>
  <c r="AI9" i="1"/>
  <c r="AI13" i="1"/>
  <c r="AI17" i="1"/>
  <c r="AI21" i="1"/>
  <c r="AI25" i="1"/>
  <c r="AI29" i="1"/>
  <c r="AI33" i="1"/>
  <c r="AI37" i="1"/>
  <c r="AI41" i="1"/>
  <c r="AI45" i="1"/>
  <c r="AI49" i="1"/>
  <c r="AI53" i="1"/>
  <c r="AI57" i="1"/>
  <c r="AI61" i="1"/>
  <c r="AI65" i="1"/>
  <c r="AI69" i="1"/>
  <c r="AI73" i="1"/>
  <c r="AI77" i="1"/>
  <c r="AI81" i="1"/>
  <c r="AI85" i="1"/>
  <c r="AI89" i="1"/>
  <c r="AI93" i="1"/>
  <c r="AI97" i="1"/>
  <c r="AI102" i="1"/>
  <c r="AI106" i="1"/>
  <c r="AI110" i="1"/>
  <c r="AI114" i="1"/>
  <c r="AI118" i="1"/>
  <c r="AI122" i="1"/>
  <c r="AI126" i="1"/>
  <c r="AI130" i="1"/>
  <c r="AI134" i="1"/>
  <c r="AI138" i="1"/>
  <c r="AI142" i="1"/>
  <c r="AI146" i="1"/>
  <c r="AI150" i="1"/>
  <c r="AI154" i="1"/>
  <c r="AI158" i="1"/>
  <c r="AI162" i="1"/>
  <c r="AI167" i="1"/>
  <c r="AI171" i="1"/>
  <c r="AI175" i="1"/>
  <c r="AJ14" i="1"/>
  <c r="AJ18" i="1"/>
  <c r="AJ22" i="1"/>
  <c r="AJ26" i="1"/>
  <c r="AJ30" i="1"/>
  <c r="AJ34" i="1"/>
  <c r="AJ38" i="1"/>
  <c r="AJ42" i="1"/>
  <c r="AJ115" i="1"/>
  <c r="AJ119" i="1"/>
  <c r="AJ132" i="1"/>
  <c r="AJ136" i="1"/>
  <c r="AJ167" i="1"/>
  <c r="AJ171" i="1"/>
  <c r="AI8" i="1"/>
  <c r="AI12" i="1"/>
  <c r="AI16" i="1"/>
  <c r="AI20" i="1"/>
  <c r="AI24" i="1"/>
  <c r="AI28" i="1"/>
  <c r="AI32" i="1"/>
  <c r="AI36" i="1"/>
  <c r="AI40" i="1"/>
  <c r="AI44" i="1"/>
  <c r="AI48" i="1"/>
  <c r="AI52" i="1"/>
  <c r="AI56" i="1"/>
  <c r="AI60" i="1"/>
  <c r="AI64" i="1"/>
  <c r="AI68" i="1"/>
  <c r="AI72" i="1"/>
  <c r="AI76" i="1"/>
  <c r="AI80" i="1"/>
  <c r="AI84" i="1"/>
  <c r="AI88" i="1"/>
  <c r="AI92" i="1"/>
  <c r="AI96" i="1"/>
  <c r="AI100" i="1"/>
  <c r="AI105" i="1"/>
  <c r="AI109" i="1"/>
  <c r="AI113" i="1"/>
  <c r="AI117" i="1"/>
  <c r="AI121" i="1"/>
  <c r="AI125" i="1"/>
  <c r="AI129" i="1"/>
  <c r="AI133" i="1"/>
  <c r="AI137" i="1"/>
  <c r="AI141" i="1"/>
  <c r="AI145" i="1"/>
  <c r="AI149" i="1"/>
  <c r="AI153" i="1"/>
  <c r="AI157" i="1"/>
  <c r="AI161" i="1"/>
  <c r="AI165" i="1"/>
  <c r="AI170" i="1"/>
  <c r="AI174" i="1"/>
  <c r="AJ97" i="1"/>
  <c r="AJ114" i="1"/>
  <c r="AJ118" i="1"/>
  <c r="AJ122" i="1"/>
  <c r="AJ131" i="1"/>
  <c r="AJ165" i="1"/>
  <c r="AJ51" i="1"/>
  <c r="AJ4" i="1"/>
  <c r="AJ44" i="1"/>
  <c r="AJ68" i="1"/>
  <c r="AJ76" i="1"/>
  <c r="AJ80" i="1"/>
  <c r="AJ88" i="1"/>
  <c r="AJ93" i="1"/>
  <c r="AJ102" i="1"/>
  <c r="AJ106" i="1"/>
  <c r="AJ16" i="1"/>
  <c r="AJ24" i="1"/>
  <c r="AJ28" i="1"/>
  <c r="AJ32" i="1"/>
  <c r="AJ36" i="1"/>
  <c r="AJ40" i="1"/>
  <c r="AJ60" i="1"/>
  <c r="AJ7" i="1"/>
  <c r="AJ67" i="1"/>
  <c r="AJ71" i="1"/>
  <c r="AJ75" i="1"/>
  <c r="AJ79" i="1"/>
  <c r="AJ87" i="1"/>
  <c r="AJ92" i="1"/>
  <c r="AJ100" i="1"/>
  <c r="AJ109" i="1"/>
  <c r="AJ125" i="1"/>
  <c r="AJ15" i="1"/>
  <c r="AJ19" i="1"/>
  <c r="AJ23" i="1"/>
  <c r="AJ27" i="1"/>
  <c r="AJ31" i="1"/>
  <c r="AJ35" i="1"/>
  <c r="AJ39" i="1"/>
  <c r="AJ59" i="1"/>
  <c r="AJ173" i="1"/>
  <c r="AI3" i="1"/>
  <c r="AI7" i="1"/>
  <c r="AI11" i="1"/>
  <c r="AI15" i="1"/>
  <c r="AI19" i="1"/>
  <c r="AI23" i="1"/>
  <c r="AI27" i="1"/>
  <c r="AI31" i="1"/>
  <c r="AI35" i="1"/>
  <c r="AI39" i="1"/>
  <c r="AI43" i="1"/>
  <c r="AI47" i="1"/>
  <c r="AI51" i="1"/>
  <c r="AI55" i="1"/>
  <c r="AI59" i="1"/>
  <c r="AI63" i="1"/>
  <c r="AI67" i="1"/>
  <c r="AI71" i="1"/>
  <c r="AI75" i="1"/>
  <c r="AI79" i="1"/>
  <c r="AI83" i="1"/>
  <c r="AI87" i="1"/>
  <c r="AI91" i="1"/>
  <c r="AI95" i="1"/>
  <c r="AI99" i="1"/>
  <c r="AI104" i="1"/>
  <c r="AI108" i="1"/>
  <c r="AI112" i="1"/>
  <c r="AI116" i="1"/>
  <c r="AI120" i="1"/>
  <c r="AI124" i="1"/>
  <c r="AI128" i="1"/>
  <c r="AI132" i="1"/>
  <c r="AI136" i="1"/>
  <c r="AI140" i="1"/>
  <c r="AI144" i="1"/>
  <c r="AI148" i="1"/>
  <c r="AI152" i="1"/>
  <c r="AI156" i="1"/>
  <c r="AI160" i="1"/>
  <c r="AI164" i="1"/>
  <c r="AI169" i="1"/>
  <c r="AI173" i="1"/>
  <c r="AJ96" i="1"/>
  <c r="AJ113" i="1"/>
  <c r="AJ117" i="1"/>
  <c r="AJ121" i="1"/>
  <c r="AJ130" i="1"/>
  <c r="AJ134" i="1"/>
  <c r="AJ164" i="1"/>
  <c r="AJ169" i="1"/>
  <c r="Z62" i="1"/>
  <c r="X62" i="1"/>
  <c r="C11" i="17" l="1"/>
  <c r="B11" i="17"/>
  <c r="X4" i="1"/>
  <c r="X175" i="1"/>
  <c r="X174" i="1"/>
  <c r="X173" i="1"/>
  <c r="X172" i="1"/>
  <c r="X171" i="1"/>
  <c r="X170" i="1"/>
  <c r="X169" i="1"/>
  <c r="X168" i="1"/>
  <c r="X167"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1" i="1"/>
  <c r="X60" i="1"/>
  <c r="X58" i="1"/>
  <c r="X57"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Z4" i="1"/>
  <c r="Z2" i="1"/>
  <c r="Z36" i="1"/>
  <c r="Z175" i="1"/>
  <c r="Z174" i="1"/>
  <c r="Z173" i="1"/>
  <c r="Z172" i="1"/>
  <c r="Z171" i="1"/>
  <c r="Z170" i="1"/>
  <c r="Z169" i="1"/>
  <c r="Z168" i="1"/>
  <c r="Z167"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1" i="1"/>
  <c r="Z60" i="1"/>
  <c r="Z59" i="1"/>
  <c r="Z58" i="1"/>
  <c r="Z57" i="1"/>
  <c r="Z56" i="1"/>
  <c r="Z55" i="1"/>
  <c r="Z54" i="1"/>
  <c r="Z53" i="1"/>
  <c r="Z52" i="1"/>
  <c r="Z51" i="1"/>
  <c r="Z50" i="1"/>
  <c r="Z49" i="1"/>
  <c r="Z48" i="1"/>
  <c r="Z47" i="1"/>
  <c r="Z46" i="1"/>
  <c r="Z45" i="1"/>
  <c r="Z44" i="1"/>
  <c r="Z43" i="1"/>
  <c r="Z42" i="1"/>
  <c r="Z41" i="1"/>
  <c r="Z40" i="1"/>
  <c r="Z39" i="1"/>
  <c r="Z38" i="1"/>
  <c r="Z37" i="1"/>
  <c r="Z35" i="1"/>
  <c r="Z34" i="1"/>
  <c r="Z33" i="1"/>
  <c r="Z32" i="1"/>
  <c r="Z31" i="1"/>
  <c r="Z30" i="1"/>
  <c r="Z29" i="1"/>
  <c r="Z28" i="1"/>
  <c r="Z27" i="1"/>
  <c r="Z26" i="1"/>
  <c r="Z25" i="1"/>
  <c r="Z24" i="1"/>
  <c r="Z23" i="1"/>
  <c r="Z22" i="1"/>
  <c r="Z21" i="1"/>
  <c r="Z20" i="1"/>
  <c r="Z19" i="1"/>
  <c r="Z18" i="1"/>
  <c r="Z17" i="1"/>
  <c r="Z16" i="1"/>
  <c r="Z15" i="1"/>
  <c r="Z14" i="1"/>
  <c r="Z12" i="1"/>
  <c r="Z11" i="1"/>
  <c r="Z10" i="1"/>
  <c r="Z9" i="1"/>
  <c r="Z8" i="1"/>
  <c r="Z7" i="1"/>
  <c r="Z6" i="1"/>
  <c r="Z5" i="1"/>
  <c r="B15" i="17" l="1"/>
  <c r="AM11" i="1"/>
  <c r="D15" i="17" l="1"/>
  <c r="B23" i="17"/>
  <c r="D23" i="17" s="1"/>
  <c r="H75" i="9"/>
  <c r="H63" i="9"/>
  <c r="H73" i="9"/>
  <c r="H72" i="9"/>
  <c r="H71" i="9"/>
  <c r="H70" i="9"/>
  <c r="H58" i="9"/>
  <c r="H69" i="9"/>
  <c r="H68" i="9"/>
  <c r="H56" i="9"/>
  <c r="F76" i="9"/>
  <c r="G76" i="9" s="1"/>
  <c r="I74" i="9"/>
  <c r="I75" i="9"/>
  <c r="I69" i="9"/>
  <c r="I68" i="9"/>
  <c r="J68" i="9"/>
  <c r="J69" i="9"/>
  <c r="I70" i="9"/>
  <c r="J70" i="9"/>
  <c r="I71" i="9"/>
  <c r="J71" i="9"/>
  <c r="I72" i="9"/>
  <c r="J72" i="9"/>
  <c r="I73" i="9"/>
  <c r="J73" i="9"/>
  <c r="J74" i="9"/>
  <c r="J75" i="9"/>
  <c r="H74" i="9"/>
  <c r="G69" i="9"/>
  <c r="G70" i="9"/>
  <c r="G71" i="9"/>
  <c r="G72" i="9"/>
  <c r="G73" i="9"/>
  <c r="G74" i="9"/>
  <c r="G75" i="9"/>
  <c r="G68" i="9"/>
  <c r="J63" i="9"/>
  <c r="J62" i="9"/>
  <c r="J61" i="9"/>
  <c r="J60" i="9"/>
  <c r="J59" i="9"/>
  <c r="J58" i="9"/>
  <c r="I63" i="9"/>
  <c r="I62" i="9"/>
  <c r="I61" i="9"/>
  <c r="I60" i="9"/>
  <c r="I59" i="9"/>
  <c r="I58" i="9"/>
  <c r="I56" i="9"/>
  <c r="I57" i="9"/>
  <c r="J57" i="9"/>
  <c r="J56" i="9"/>
  <c r="H62" i="9"/>
  <c r="H61" i="9"/>
  <c r="H60" i="9"/>
  <c r="H59" i="9"/>
  <c r="H57" i="9"/>
  <c r="K74" i="9" l="1"/>
  <c r="L74" i="9"/>
  <c r="H64" i="9"/>
  <c r="L73" i="9"/>
  <c r="J76" i="9"/>
  <c r="L70" i="9"/>
  <c r="I76" i="9"/>
  <c r="L68" i="9"/>
  <c r="L71" i="9"/>
  <c r="K75" i="9"/>
  <c r="K69" i="9"/>
  <c r="K72" i="9"/>
  <c r="L75" i="9"/>
  <c r="K73" i="9"/>
  <c r="L72" i="9"/>
  <c r="K71" i="9"/>
  <c r="K70" i="9"/>
  <c r="L69" i="9"/>
  <c r="K68" i="9"/>
  <c r="H76" i="9"/>
  <c r="L60" i="9"/>
  <c r="L58" i="9"/>
  <c r="L62" i="9"/>
  <c r="L57" i="9"/>
  <c r="K60" i="9"/>
  <c r="K57" i="9"/>
  <c r="L59" i="9"/>
  <c r="L63" i="9"/>
  <c r="K61" i="9"/>
  <c r="K58" i="9"/>
  <c r="K62" i="9"/>
  <c r="L61" i="9"/>
  <c r="K59" i="9"/>
  <c r="K63" i="9"/>
  <c r="J64" i="9"/>
  <c r="I64" i="9"/>
  <c r="G57" i="9"/>
  <c r="G58" i="9"/>
  <c r="G59" i="9"/>
  <c r="G60" i="9"/>
  <c r="G61" i="9"/>
  <c r="G62" i="9"/>
  <c r="G63" i="9"/>
  <c r="G64" i="9"/>
  <c r="G56" i="9"/>
  <c r="F64" i="9"/>
  <c r="E64" i="9"/>
  <c r="K76" i="9" l="1"/>
  <c r="L76" i="9"/>
  <c r="L64" i="9"/>
  <c r="K64" i="9"/>
  <c r="L56" i="9"/>
  <c r="K56" i="9"/>
  <c r="AY177" i="1"/>
  <c r="AW177" i="1"/>
  <c r="AX177" i="1" l="1"/>
  <c r="AX183" i="1" s="1"/>
  <c r="AP177" i="1" l="1"/>
  <c r="AO177" i="1"/>
  <c r="AN177" i="1"/>
  <c r="AN183" i="1" s="1"/>
  <c r="K30" i="9" l="1"/>
  <c r="K29" i="9"/>
  <c r="K28" i="9"/>
  <c r="K27" i="9"/>
  <c r="K26" i="9"/>
  <c r="BH160" i="1"/>
  <c r="K25" i="9" s="1"/>
  <c r="K24" i="9"/>
  <c r="K23" i="9"/>
  <c r="K52" i="9"/>
  <c r="K51" i="9"/>
  <c r="K50" i="9"/>
  <c r="K49" i="9"/>
  <c r="K48" i="9"/>
  <c r="K47" i="9"/>
  <c r="K46" i="9"/>
  <c r="K45" i="9"/>
  <c r="K31" i="9" l="1"/>
  <c r="K53" i="9"/>
  <c r="J52" i="9"/>
  <c r="L52" i="9" s="1"/>
  <c r="J51" i="9"/>
  <c r="L51" i="9" s="1"/>
  <c r="J50" i="9"/>
  <c r="L50" i="9" s="1"/>
  <c r="J49" i="9"/>
  <c r="L49" i="9" s="1"/>
  <c r="J48" i="9"/>
  <c r="L48" i="9" s="1"/>
  <c r="J47" i="9"/>
  <c r="L47" i="9" s="1"/>
  <c r="J46" i="9"/>
  <c r="L46" i="9" s="1"/>
  <c r="G53" i="9"/>
  <c r="E53" i="9"/>
  <c r="F53" i="9"/>
  <c r="H52" i="9"/>
  <c r="H51" i="9"/>
  <c r="H50" i="9"/>
  <c r="H49" i="9"/>
  <c r="H48" i="9"/>
  <c r="H47" i="9"/>
  <c r="H46" i="9"/>
  <c r="BJ19" i="1"/>
  <c r="J45" i="9"/>
  <c r="L45" i="9" s="1"/>
  <c r="H45" i="9"/>
  <c r="G52" i="9"/>
  <c r="G51" i="9"/>
  <c r="G50" i="9"/>
  <c r="G49" i="9"/>
  <c r="G48" i="9"/>
  <c r="G47" i="9"/>
  <c r="G46" i="9"/>
  <c r="G45" i="9"/>
  <c r="I45" i="9" l="1"/>
  <c r="H53" i="9"/>
  <c r="J53" i="9"/>
  <c r="I49" i="9"/>
  <c r="I46" i="9"/>
  <c r="I50" i="9"/>
  <c r="I47" i="9"/>
  <c r="I51" i="9"/>
  <c r="I48" i="9"/>
  <c r="I52" i="9"/>
  <c r="C56" i="15"/>
  <c r="C55" i="15"/>
  <c r="B55" i="15"/>
  <c r="B37" i="16"/>
  <c r="B36" i="16"/>
  <c r="B15" i="16"/>
  <c r="B14" i="16"/>
  <c r="C53" i="15"/>
  <c r="AE50" i="15"/>
  <c r="W50" i="15"/>
  <c r="T50" i="15"/>
  <c r="AE49" i="15"/>
  <c r="W49" i="15"/>
  <c r="T49" i="15"/>
  <c r="AE48" i="15"/>
  <c r="AD48" i="15"/>
  <c r="AC48" i="15"/>
  <c r="W48" i="15"/>
  <c r="Q48" i="15"/>
  <c r="T48" i="15" s="1"/>
  <c r="AD47" i="15"/>
  <c r="AC47" i="15"/>
  <c r="AE47" i="15" s="1"/>
  <c r="W47" i="15"/>
  <c r="T47" i="15"/>
  <c r="AE46" i="15"/>
  <c r="W46" i="15"/>
  <c r="T46" i="15"/>
  <c r="AE45" i="15"/>
  <c r="W45" i="15"/>
  <c r="T45" i="15"/>
  <c r="AE44" i="15"/>
  <c r="W44" i="15"/>
  <c r="T44" i="15"/>
  <c r="AE43" i="15"/>
  <c r="W43" i="15"/>
  <c r="T43" i="15"/>
  <c r="AE42" i="15"/>
  <c r="W42" i="15"/>
  <c r="T42" i="15"/>
  <c r="AD41" i="15"/>
  <c r="AC41" i="15"/>
  <c r="AE41" i="15" s="1"/>
  <c r="W41" i="15"/>
  <c r="T41" i="15"/>
  <c r="AE40" i="15"/>
  <c r="W40" i="15"/>
  <c r="T40" i="15"/>
  <c r="AE39" i="15"/>
  <c r="W39" i="15"/>
  <c r="T39" i="15"/>
  <c r="AE38" i="15"/>
  <c r="W38" i="15"/>
  <c r="T38" i="15"/>
  <c r="AE37" i="15"/>
  <c r="W37" i="15"/>
  <c r="T37" i="15"/>
  <c r="AD36" i="15"/>
  <c r="AC36" i="15"/>
  <c r="AE36" i="15" s="1"/>
  <c r="W36" i="15"/>
  <c r="T36" i="15"/>
  <c r="AD35" i="15"/>
  <c r="AC35" i="15"/>
  <c r="AE35" i="15" s="1"/>
  <c r="W35" i="15"/>
  <c r="T35" i="15"/>
  <c r="AD34" i="15"/>
  <c r="AC34" i="15"/>
  <c r="AE34" i="15" s="1"/>
  <c r="W34" i="15"/>
  <c r="T34" i="15"/>
  <c r="AE33" i="15"/>
  <c r="W33" i="15"/>
  <c r="T33" i="15"/>
  <c r="AE32" i="15"/>
  <c r="W32" i="15"/>
  <c r="T32" i="15"/>
  <c r="AE31" i="15"/>
  <c r="W31" i="15"/>
  <c r="T31" i="15"/>
  <c r="AD30" i="15"/>
  <c r="AC30" i="15"/>
  <c r="AE30" i="15" s="1"/>
  <c r="W30" i="15"/>
  <c r="T30" i="15"/>
  <c r="AE29" i="15"/>
  <c r="AD29" i="15"/>
  <c r="W29" i="15"/>
  <c r="T29" i="15"/>
  <c r="AE28" i="15"/>
  <c r="W28" i="15"/>
  <c r="T28" i="15"/>
  <c r="AE27" i="15"/>
  <c r="AD27" i="15"/>
  <c r="W27" i="15"/>
  <c r="T27" i="15"/>
  <c r="AE26" i="15"/>
  <c r="W26" i="15"/>
  <c r="T26" i="15"/>
  <c r="AE25" i="15"/>
  <c r="W25" i="15"/>
  <c r="T25" i="15"/>
  <c r="AE24" i="15"/>
  <c r="AD24" i="15"/>
  <c r="W24" i="15"/>
  <c r="Q24" i="15"/>
  <c r="T24" i="15" s="1"/>
  <c r="AE20" i="15"/>
  <c r="AD20" i="15"/>
  <c r="W20" i="15"/>
  <c r="T20" i="15"/>
  <c r="AE17" i="15"/>
  <c r="W17" i="15"/>
  <c r="T17" i="15"/>
  <c r="AE16" i="15"/>
  <c r="W16" i="15"/>
  <c r="T16" i="15"/>
  <c r="AE15" i="15"/>
  <c r="W15" i="15"/>
  <c r="T15" i="15"/>
  <c r="AE14" i="15"/>
  <c r="W14" i="15"/>
  <c r="T14" i="15"/>
  <c r="AD13" i="15"/>
  <c r="AC13" i="15"/>
  <c r="AE13" i="15" s="1"/>
  <c r="W13" i="15"/>
  <c r="T13" i="15"/>
  <c r="AD12" i="15"/>
  <c r="AC12" i="15"/>
  <c r="AE12" i="15" s="1"/>
  <c r="W12" i="15"/>
  <c r="T12" i="15"/>
  <c r="AD11" i="15"/>
  <c r="AC11" i="15"/>
  <c r="AE11" i="15" s="1"/>
  <c r="W11" i="15"/>
  <c r="T11" i="15"/>
  <c r="AD10" i="15"/>
  <c r="AC10" i="15"/>
  <c r="AE10" i="15" s="1"/>
  <c r="W10" i="15"/>
  <c r="T10" i="15"/>
  <c r="AD9" i="15"/>
  <c r="AC9" i="15"/>
  <c r="AE9" i="15" s="1"/>
  <c r="W9" i="15"/>
  <c r="T9" i="15"/>
  <c r="AD8" i="15"/>
  <c r="AC8" i="15"/>
  <c r="AE8" i="15" s="1"/>
  <c r="W8" i="15"/>
  <c r="T8" i="15"/>
  <c r="AD7" i="15"/>
  <c r="AC7" i="15"/>
  <c r="AE7" i="15" s="1"/>
  <c r="W7" i="15"/>
  <c r="T7" i="15"/>
  <c r="AE6" i="15"/>
  <c r="W6" i="15"/>
  <c r="T6" i="15"/>
  <c r="AD5" i="15"/>
  <c r="AC5" i="15"/>
  <c r="AE5" i="15" s="1"/>
  <c r="W5" i="15"/>
  <c r="T5" i="15"/>
  <c r="AD4" i="15"/>
  <c r="AC4" i="15"/>
  <c r="AE4" i="15" s="1"/>
  <c r="W4" i="15"/>
  <c r="T4" i="15"/>
  <c r="AE3" i="15"/>
  <c r="W3" i="15"/>
  <c r="T3" i="15"/>
  <c r="AE2" i="15"/>
  <c r="W2" i="15"/>
  <c r="T2" i="15"/>
  <c r="I53" i="9" l="1"/>
  <c r="L53" i="9"/>
  <c r="BJ2" i="1"/>
  <c r="L62" i="13" l="1"/>
  <c r="D62" i="13"/>
  <c r="E62" i="13"/>
  <c r="F62" i="13"/>
  <c r="G62" i="13"/>
  <c r="H62" i="13"/>
  <c r="I62" i="13"/>
  <c r="J62" i="13"/>
  <c r="K62" i="13"/>
  <c r="E63" i="13"/>
  <c r="G63" i="13"/>
  <c r="H63" i="13"/>
  <c r="I63" i="13"/>
  <c r="J63" i="13"/>
  <c r="K63" i="13"/>
  <c r="L63" i="13"/>
  <c r="C62" i="13"/>
  <c r="F57" i="13"/>
  <c r="F63" i="13" s="1"/>
  <c r="D49" i="13"/>
  <c r="D63" i="13" s="1"/>
  <c r="C55" i="13"/>
  <c r="C53" i="13"/>
  <c r="C51" i="13"/>
  <c r="C49" i="13"/>
  <c r="G20" i="8"/>
  <c r="G18" i="8"/>
  <c r="G16" i="8"/>
  <c r="E20" i="8"/>
  <c r="F20" i="8"/>
  <c r="G28" i="12"/>
  <c r="G20" i="12"/>
  <c r="G22" i="12"/>
  <c r="G24" i="12"/>
  <c r="G26" i="12"/>
  <c r="G18" i="12"/>
  <c r="C28" i="12"/>
  <c r="D28" i="12"/>
  <c r="E28" i="12"/>
  <c r="F28" i="12"/>
  <c r="B28" i="12"/>
  <c r="C7" i="12"/>
  <c r="B7" i="12"/>
  <c r="AM154" i="1"/>
  <c r="E20" i="7"/>
  <c r="E18" i="7"/>
  <c r="E16" i="7"/>
  <c r="C22" i="7"/>
  <c r="D22" i="7"/>
  <c r="E22" i="7"/>
  <c r="B22" i="7"/>
  <c r="C10" i="7"/>
  <c r="D10" i="7"/>
  <c r="F19" i="6"/>
  <c r="C19" i="6"/>
  <c r="D19" i="6"/>
  <c r="E19" i="6"/>
  <c r="B19" i="6"/>
  <c r="F17" i="6"/>
  <c r="F15" i="6"/>
  <c r="C9" i="6"/>
  <c r="D9" i="6"/>
  <c r="D8" i="6"/>
  <c r="C4" i="6"/>
  <c r="B4" i="6"/>
  <c r="C21" i="4"/>
  <c r="D21" i="4"/>
  <c r="E21" i="4"/>
  <c r="H21" i="4" s="1"/>
  <c r="F21" i="4"/>
  <c r="G21" i="4"/>
  <c r="B21" i="4"/>
  <c r="H19" i="4"/>
  <c r="H17" i="4"/>
  <c r="H15" i="4"/>
  <c r="C10" i="4"/>
  <c r="D10" i="4"/>
  <c r="B10" i="4"/>
  <c r="C9" i="4"/>
  <c r="D9" i="4"/>
  <c r="B9" i="4"/>
  <c r="D16" i="2"/>
  <c r="D14" i="2"/>
  <c r="D18" i="2"/>
  <c r="C18" i="2"/>
  <c r="B18" i="2"/>
  <c r="D9" i="2"/>
  <c r="C9" i="2"/>
  <c r="D8" i="2"/>
  <c r="C8" i="2"/>
  <c r="E31" i="3"/>
  <c r="E27" i="3"/>
  <c r="E29" i="3"/>
  <c r="E25" i="3"/>
  <c r="E23" i="3"/>
  <c r="E21" i="3"/>
  <c r="E19" i="3"/>
  <c r="C31" i="3"/>
  <c r="D31" i="3"/>
  <c r="B31" i="3"/>
  <c r="C12" i="3"/>
  <c r="D12" i="3"/>
  <c r="F3" i="3"/>
  <c r="C63" i="13" l="1"/>
  <c r="E12" i="12"/>
  <c r="E10" i="4"/>
  <c r="E9" i="4"/>
  <c r="H32" i="5"/>
  <c r="H30" i="5"/>
  <c r="H28" i="5"/>
  <c r="H26" i="5"/>
  <c r="H24" i="5"/>
  <c r="H22" i="5"/>
  <c r="H20" i="5"/>
  <c r="C34" i="5"/>
  <c r="D34" i="5"/>
  <c r="E34" i="5"/>
  <c r="F34" i="5"/>
  <c r="G34" i="5"/>
  <c r="B34" i="5"/>
  <c r="B14" i="5"/>
  <c r="C13" i="5"/>
  <c r="D13" i="5"/>
  <c r="H34" i="5" l="1"/>
  <c r="H41" i="9"/>
  <c r="G41" i="9"/>
  <c r="H34" i="9"/>
  <c r="H35" i="9"/>
  <c r="H36" i="9"/>
  <c r="H37" i="9"/>
  <c r="H38" i="9"/>
  <c r="H39" i="9"/>
  <c r="H40" i="9"/>
  <c r="H33" i="9"/>
  <c r="AM61" i="1" l="1"/>
  <c r="G34" i="9"/>
  <c r="G35" i="9"/>
  <c r="G36" i="9"/>
  <c r="G37" i="9"/>
  <c r="G38" i="9"/>
  <c r="G39" i="9"/>
  <c r="G40" i="9"/>
  <c r="G33" i="9"/>
  <c r="BH10" i="1"/>
  <c r="BI10" i="1"/>
  <c r="BJ9" i="1"/>
  <c r="BJ8" i="1"/>
  <c r="BI4" i="1"/>
  <c r="BI15" i="1"/>
  <c r="BH15" i="1"/>
  <c r="BJ15" i="1" s="1"/>
  <c r="AM2" i="1"/>
  <c r="BJ160" i="1" l="1"/>
  <c r="BH21" i="1"/>
  <c r="BJ21" i="1" s="1"/>
  <c r="BJ142" i="1"/>
  <c r="BJ151" i="1"/>
  <c r="BH139" i="1"/>
  <c r="BJ139" i="1" s="1"/>
  <c r="BJ83" i="1"/>
  <c r="BI21" i="1"/>
  <c r="B118" i="9" l="1"/>
  <c r="BJ101" i="1" l="1"/>
  <c r="BJ78" i="1"/>
  <c r="BJ3" i="1"/>
  <c r="BJ5" i="1"/>
  <c r="BJ6" i="1"/>
  <c r="BJ7" i="1"/>
  <c r="BJ11" i="1"/>
  <c r="BJ12" i="1"/>
  <c r="BJ14" i="1"/>
  <c r="BJ20" i="1"/>
  <c r="BJ40" i="1"/>
  <c r="BJ43" i="1"/>
  <c r="BJ44" i="1"/>
  <c r="BJ45" i="1"/>
  <c r="BJ46" i="1"/>
  <c r="BJ47" i="1"/>
  <c r="BJ49" i="1"/>
  <c r="BJ50" i="1"/>
  <c r="BJ51" i="1"/>
  <c r="BJ52" i="1"/>
  <c r="BJ53" i="1"/>
  <c r="BJ54" i="1"/>
  <c r="BJ55" i="1"/>
  <c r="BJ56" i="1"/>
  <c r="BJ57" i="1"/>
  <c r="BJ59" i="1"/>
  <c r="BJ61" i="1"/>
  <c r="BJ64" i="1"/>
  <c r="BJ65" i="1"/>
  <c r="BJ67" i="1"/>
  <c r="BJ68" i="1"/>
  <c r="BJ69" i="1"/>
  <c r="BJ71" i="1"/>
  <c r="BJ72" i="1"/>
  <c r="BJ73" i="1"/>
  <c r="BJ74" i="1"/>
  <c r="BJ76" i="1"/>
  <c r="BJ77" i="1"/>
  <c r="BJ79" i="1"/>
  <c r="BJ80" i="1"/>
  <c r="BJ81" i="1"/>
  <c r="BJ82" i="1"/>
  <c r="BJ84" i="1"/>
  <c r="BJ85" i="1"/>
  <c r="BJ86" i="1"/>
  <c r="BJ87" i="1"/>
  <c r="BJ88" i="1"/>
  <c r="BJ89" i="1"/>
  <c r="BJ90" i="1"/>
  <c r="BJ92" i="1"/>
  <c r="BJ94" i="1"/>
  <c r="BJ95" i="1"/>
  <c r="BJ96" i="1"/>
  <c r="BJ97" i="1"/>
  <c r="BJ98" i="1"/>
  <c r="BJ99" i="1"/>
  <c r="BJ102" i="1"/>
  <c r="BJ109" i="1"/>
  <c r="BJ110" i="1"/>
  <c r="BJ111" i="1"/>
  <c r="BJ115" i="1"/>
  <c r="BJ117" i="1"/>
  <c r="BJ118" i="1"/>
  <c r="BJ119" i="1"/>
  <c r="BJ121" i="1"/>
  <c r="BJ122" i="1"/>
  <c r="BJ123" i="1"/>
  <c r="BJ125" i="1"/>
  <c r="BJ126" i="1"/>
  <c r="BJ127" i="1"/>
  <c r="BJ129" i="1"/>
  <c r="BJ131" i="1"/>
  <c r="BJ132" i="1"/>
  <c r="BJ133" i="1"/>
  <c r="BJ134" i="1"/>
  <c r="BJ135" i="1"/>
  <c r="BJ136" i="1"/>
  <c r="BJ138" i="1"/>
  <c r="BJ143" i="1"/>
  <c r="BJ144" i="1"/>
  <c r="BJ145" i="1"/>
  <c r="BJ146" i="1"/>
  <c r="BJ148" i="1"/>
  <c r="BJ149" i="1"/>
  <c r="BJ150" i="1"/>
  <c r="BJ152" i="1"/>
  <c r="BJ153" i="1"/>
  <c r="BJ154" i="1"/>
  <c r="BJ158" i="1"/>
  <c r="BJ159" i="1"/>
  <c r="BJ161" i="1"/>
  <c r="BJ162" i="1"/>
  <c r="BJ163" i="1"/>
  <c r="BJ164" i="1"/>
  <c r="BJ165" i="1"/>
  <c r="BJ166" i="1"/>
  <c r="BJ168" i="1"/>
  <c r="BJ169" i="1"/>
  <c r="BJ170" i="1"/>
  <c r="BJ171" i="1"/>
  <c r="BJ172" i="1"/>
  <c r="BJ173" i="1"/>
  <c r="BH175" i="1" l="1"/>
  <c r="BJ175" i="1" s="1"/>
  <c r="BH174" i="1"/>
  <c r="G30" i="9" s="1"/>
  <c r="BH104" i="1"/>
  <c r="BJ104" i="1" s="1"/>
  <c r="BH93" i="1"/>
  <c r="BJ93" i="1" s="1"/>
  <c r="BH91" i="1"/>
  <c r="BH70" i="1"/>
  <c r="BJ70" i="1" s="1"/>
  <c r="BH66" i="1"/>
  <c r="BH147" i="1"/>
  <c r="BJ147" i="1" s="1"/>
  <c r="BH141" i="1"/>
  <c r="BJ141" i="1" s="1"/>
  <c r="BH140" i="1"/>
  <c r="BJ140" i="1" s="1"/>
  <c r="BH137" i="1"/>
  <c r="BH130" i="1"/>
  <c r="BJ130" i="1" s="1"/>
  <c r="BH128" i="1"/>
  <c r="BJ128" i="1" s="1"/>
  <c r="BH124" i="1"/>
  <c r="BJ124" i="1" s="1"/>
  <c r="BH120" i="1"/>
  <c r="BJ120" i="1" s="1"/>
  <c r="BH116" i="1"/>
  <c r="BJ116" i="1" s="1"/>
  <c r="BH114" i="1"/>
  <c r="BJ114" i="1" s="1"/>
  <c r="BH113" i="1"/>
  <c r="BJ113" i="1" s="1"/>
  <c r="BH112" i="1"/>
  <c r="BJ112" i="1" s="1"/>
  <c r="BH108" i="1"/>
  <c r="BJ108" i="1" s="1"/>
  <c r="BH107" i="1"/>
  <c r="BJ107" i="1" s="1"/>
  <c r="BH106" i="1"/>
  <c r="BJ106" i="1" s="1"/>
  <c r="BH105" i="1"/>
  <c r="BJ105" i="1" s="1"/>
  <c r="BH103" i="1"/>
  <c r="BJ103" i="1" s="1"/>
  <c r="BH100" i="1"/>
  <c r="BH63" i="1"/>
  <c r="BJ63" i="1" s="1"/>
  <c r="BH62" i="1"/>
  <c r="BH60" i="1"/>
  <c r="BJ60" i="1" s="1"/>
  <c r="BH58" i="1"/>
  <c r="BH167" i="1"/>
  <c r="BJ167" i="1" s="1"/>
  <c r="BH157" i="1"/>
  <c r="BJ157" i="1" s="1"/>
  <c r="BH156" i="1"/>
  <c r="BJ156" i="1" s="1"/>
  <c r="BH155" i="1"/>
  <c r="BJ155" i="1" s="1"/>
  <c r="BH75" i="1"/>
  <c r="F3" i="9" s="1"/>
  <c r="BH48" i="1"/>
  <c r="BJ48" i="1" s="1"/>
  <c r="BH42" i="1"/>
  <c r="BJ42" i="1" s="1"/>
  <c r="BH41" i="1"/>
  <c r="BJ41" i="1" s="1"/>
  <c r="BH39" i="1"/>
  <c r="BJ39" i="1" s="1"/>
  <c r="BH38" i="1"/>
  <c r="BJ38" i="1" s="1"/>
  <c r="BH37" i="1"/>
  <c r="BJ37" i="1" s="1"/>
  <c r="BH36" i="1"/>
  <c r="BJ36" i="1" s="1"/>
  <c r="BH35" i="1"/>
  <c r="BJ35" i="1" s="1"/>
  <c r="BH34" i="1"/>
  <c r="BJ34" i="1" s="1"/>
  <c r="BH33" i="1"/>
  <c r="BJ33" i="1" s="1"/>
  <c r="BH32" i="1"/>
  <c r="BJ32" i="1" s="1"/>
  <c r="BH31" i="1"/>
  <c r="BJ31" i="1" s="1"/>
  <c r="BH30" i="1"/>
  <c r="BJ30" i="1" s="1"/>
  <c r="BH29" i="1"/>
  <c r="BJ29" i="1" s="1"/>
  <c r="BH28" i="1"/>
  <c r="BJ28" i="1" s="1"/>
  <c r="BH27" i="1"/>
  <c r="BJ27" i="1" s="1"/>
  <c r="BH24" i="1"/>
  <c r="BJ24" i="1" s="1"/>
  <c r="BH25" i="1"/>
  <c r="BJ25" i="1" s="1"/>
  <c r="BH26" i="1"/>
  <c r="BJ26" i="1" s="1"/>
  <c r="BH23" i="1"/>
  <c r="BJ23" i="1" s="1"/>
  <c r="BH22" i="1"/>
  <c r="BJ22" i="1" s="1"/>
  <c r="BH18" i="1"/>
  <c r="BJ18" i="1" s="1"/>
  <c r="BH17" i="1"/>
  <c r="BJ17" i="1" s="1"/>
  <c r="BH16" i="1"/>
  <c r="BJ16" i="1" s="1"/>
  <c r="BH13" i="1"/>
  <c r="BJ13" i="1" s="1"/>
  <c r="BH4" i="1"/>
  <c r="BI175" i="1"/>
  <c r="BI174" i="1"/>
  <c r="BI104" i="1"/>
  <c r="BI93" i="1"/>
  <c r="BI91" i="1"/>
  <c r="BI70" i="1"/>
  <c r="BI66" i="1"/>
  <c r="BI147" i="1"/>
  <c r="BI141" i="1"/>
  <c r="BI140" i="1"/>
  <c r="BI139" i="1"/>
  <c r="BI137" i="1"/>
  <c r="BI86" i="1"/>
  <c r="BI130" i="1"/>
  <c r="BI128" i="1"/>
  <c r="BI124" i="1"/>
  <c r="BI120" i="1"/>
  <c r="BI116" i="1"/>
  <c r="BI114" i="1"/>
  <c r="BI113" i="1"/>
  <c r="BI112" i="1"/>
  <c r="BI111" i="1"/>
  <c r="BI107" i="1"/>
  <c r="BI108" i="1"/>
  <c r="BI106" i="1"/>
  <c r="BI105" i="1"/>
  <c r="BI103" i="1"/>
  <c r="BI101" i="1"/>
  <c r="BI100" i="1"/>
  <c r="BI64" i="1"/>
  <c r="BI63" i="1"/>
  <c r="BI62" i="1"/>
  <c r="BI60" i="1"/>
  <c r="BI58" i="1"/>
  <c r="BI168" i="1"/>
  <c r="BI167" i="1"/>
  <c r="BI160" i="1"/>
  <c r="BI157" i="1"/>
  <c r="BI156" i="1"/>
  <c r="BI155" i="1"/>
  <c r="BI75" i="1"/>
  <c r="H24" i="9" s="1"/>
  <c r="BI71" i="1"/>
  <c r="BI48" i="1"/>
  <c r="BI42" i="1"/>
  <c r="BI41" i="1"/>
  <c r="BI39" i="1"/>
  <c r="BI38" i="1"/>
  <c r="BI37" i="1"/>
  <c r="BI36" i="1"/>
  <c r="BI35" i="1"/>
  <c r="BI34" i="1"/>
  <c r="BI33" i="1"/>
  <c r="BI32" i="1"/>
  <c r="BI31" i="1"/>
  <c r="BI30" i="1"/>
  <c r="BI29" i="1"/>
  <c r="BI28" i="1"/>
  <c r="BI27" i="1"/>
  <c r="BI25" i="1"/>
  <c r="BI26" i="1"/>
  <c r="BI24" i="1"/>
  <c r="BI23" i="1"/>
  <c r="BI22" i="1"/>
  <c r="BI18" i="1"/>
  <c r="BI17" i="1"/>
  <c r="BI16" i="1"/>
  <c r="BI13" i="1"/>
  <c r="F4" i="9" l="1"/>
  <c r="G26" i="9"/>
  <c r="BI176" i="1"/>
  <c r="H23" i="9"/>
  <c r="L23" i="9" s="1"/>
  <c r="BH176" i="1"/>
  <c r="G23" i="9"/>
  <c r="G28" i="9"/>
  <c r="G29" i="9"/>
  <c r="BJ58" i="1"/>
  <c r="K4" i="9" s="1"/>
  <c r="G25" i="9"/>
  <c r="BJ75" i="1"/>
  <c r="K3" i="9" s="1"/>
  <c r="G24" i="9"/>
  <c r="M24" i="9" s="1"/>
  <c r="BJ91" i="1"/>
  <c r="G27" i="9"/>
  <c r="L24" i="9"/>
  <c r="E5" i="9"/>
  <c r="J5" i="9" s="1"/>
  <c r="H26" i="9"/>
  <c r="H27" i="9"/>
  <c r="BJ4" i="1"/>
  <c r="F2" i="9"/>
  <c r="E7" i="9"/>
  <c r="J7" i="9" s="1"/>
  <c r="H28" i="9"/>
  <c r="H25" i="9"/>
  <c r="H29" i="9"/>
  <c r="E9" i="9"/>
  <c r="J9" i="9" s="1"/>
  <c r="H30" i="9"/>
  <c r="F5" i="9"/>
  <c r="BJ62" i="1"/>
  <c r="I26" i="9" s="1"/>
  <c r="F7" i="9"/>
  <c r="BJ137" i="1"/>
  <c r="I28" i="9" s="1"/>
  <c r="F8" i="9"/>
  <c r="BJ66" i="1"/>
  <c r="I29" i="9" s="1"/>
  <c r="E2" i="9"/>
  <c r="J2" i="9"/>
  <c r="E3" i="9"/>
  <c r="J3" i="9" s="1"/>
  <c r="E4" i="9"/>
  <c r="J4" i="9" s="1"/>
  <c r="F6" i="9"/>
  <c r="BJ100" i="1"/>
  <c r="F9" i="9"/>
  <c r="BJ174" i="1"/>
  <c r="I30" i="9" s="1"/>
  <c r="BJ10" i="1"/>
  <c r="E6" i="9"/>
  <c r="J6" i="9" s="1"/>
  <c r="E8" i="9"/>
  <c r="J8" i="9" s="1"/>
  <c r="K13" i="9" l="1"/>
  <c r="L13" i="9" s="1"/>
  <c r="G5" i="9"/>
  <c r="J26" i="9"/>
  <c r="K14" i="9"/>
  <c r="L14" i="9" s="1"/>
  <c r="I25" i="9"/>
  <c r="J25" i="9" s="1"/>
  <c r="I24" i="9"/>
  <c r="J24" i="9" s="1"/>
  <c r="L3" i="9"/>
  <c r="I27" i="9"/>
  <c r="J27" i="9" s="1"/>
  <c r="G31" i="9"/>
  <c r="M23" i="9"/>
  <c r="L30" i="9"/>
  <c r="M30" i="9"/>
  <c r="L28" i="9"/>
  <c r="M28" i="9"/>
  <c r="L27" i="9"/>
  <c r="M27" i="9"/>
  <c r="L26" i="9"/>
  <c r="M26" i="9"/>
  <c r="L25" i="9"/>
  <c r="M25" i="9"/>
  <c r="L29" i="9"/>
  <c r="M29" i="9"/>
  <c r="I23" i="9"/>
  <c r="J23" i="9" s="1"/>
  <c r="G2" i="9"/>
  <c r="J29" i="9"/>
  <c r="J30" i="9"/>
  <c r="J28" i="9"/>
  <c r="G9" i="9"/>
  <c r="G7" i="9"/>
  <c r="H31" i="9"/>
  <c r="K2" i="9"/>
  <c r="L4" i="9"/>
  <c r="G3" i="9"/>
  <c r="G4" i="9"/>
  <c r="G8" i="9"/>
  <c r="G6" i="9"/>
  <c r="E10" i="9"/>
  <c r="J10" i="9" s="1"/>
  <c r="K19" i="9"/>
  <c r="L19" i="9" s="1"/>
  <c r="K9" i="9"/>
  <c r="L9" i="9" s="1"/>
  <c r="K17" i="9"/>
  <c r="L17" i="9" s="1"/>
  <c r="K7" i="9"/>
  <c r="L7" i="9" s="1"/>
  <c r="F10" i="9"/>
  <c r="K12" i="9"/>
  <c r="K6" i="9"/>
  <c r="L6" i="9" s="1"/>
  <c r="K16" i="9"/>
  <c r="L16" i="9" s="1"/>
  <c r="K8" i="9"/>
  <c r="L8" i="9" s="1"/>
  <c r="K18" i="9"/>
  <c r="L18" i="9" s="1"/>
  <c r="K15" i="9"/>
  <c r="L15" i="9" s="1"/>
  <c r="K5" i="9"/>
  <c r="L5" i="9" s="1"/>
  <c r="D20" i="8"/>
  <c r="C20" i="8"/>
  <c r="B20" i="8"/>
  <c r="E10" i="8"/>
  <c r="D10" i="8"/>
  <c r="C10" i="8"/>
  <c r="B10" i="8"/>
  <c r="E9" i="8"/>
  <c r="D9" i="8"/>
  <c r="C9" i="8"/>
  <c r="B9" i="8"/>
  <c r="C4" i="8"/>
  <c r="F3" i="8"/>
  <c r="E3" i="8"/>
  <c r="B3" i="8"/>
  <c r="A3" i="8"/>
  <c r="F2" i="8"/>
  <c r="E2" i="8"/>
  <c r="B2" i="8"/>
  <c r="AM175" i="1"/>
  <c r="AM174" i="1"/>
  <c r="AM173" i="1"/>
  <c r="AM172" i="1"/>
  <c r="AM171" i="1"/>
  <c r="AM170" i="1"/>
  <c r="AM169" i="1"/>
  <c r="L31" i="9" l="1"/>
  <c r="M31" i="9"/>
  <c r="I31" i="9"/>
  <c r="J31" i="9" s="1"/>
  <c r="G10" i="9"/>
  <c r="L2" i="9"/>
  <c r="K10" i="9"/>
  <c r="L10" i="9" s="1"/>
  <c r="K20" i="9"/>
  <c r="L20" i="9" s="1"/>
  <c r="L12" i="9"/>
  <c r="C11" i="8"/>
  <c r="B4" i="8"/>
  <c r="D11" i="8"/>
  <c r="E11" i="8"/>
  <c r="F4" i="8"/>
  <c r="B11" i="8"/>
  <c r="E4" i="8"/>
  <c r="E9" i="7" l="1"/>
  <c r="D9" i="7"/>
  <c r="D11" i="7" s="1"/>
  <c r="C9" i="7"/>
  <c r="C11" i="7" s="1"/>
  <c r="B9" i="7"/>
  <c r="C5" i="7"/>
  <c r="B5" i="7"/>
  <c r="AM168" i="1"/>
  <c r="AM167" i="1"/>
  <c r="AM165" i="1"/>
  <c r="AM164" i="1"/>
  <c r="AM163" i="1"/>
  <c r="AM162" i="1"/>
  <c r="AM161" i="1"/>
  <c r="AM160" i="1"/>
  <c r="AM159" i="1"/>
  <c r="AM158" i="1"/>
  <c r="AM157" i="1"/>
  <c r="AM156" i="1"/>
  <c r="AM155" i="1"/>
  <c r="AM166" i="1" l="1"/>
  <c r="Z166" i="1"/>
  <c r="AM153" i="1"/>
  <c r="AM152" i="1"/>
  <c r="AM151" i="1"/>
  <c r="AM150" i="1"/>
  <c r="AM149" i="1"/>
  <c r="AM148" i="1"/>
  <c r="AM147" i="1"/>
  <c r="AM146" i="1"/>
  <c r="AM145" i="1"/>
  <c r="AM144" i="1"/>
  <c r="AM143" i="1"/>
  <c r="AM142" i="1"/>
  <c r="AM141" i="1"/>
  <c r="AM140" i="1"/>
  <c r="AM139" i="1"/>
  <c r="AM138" i="1"/>
  <c r="AM137" i="1"/>
  <c r="AM136" i="1"/>
  <c r="AM135" i="1"/>
  <c r="AM134" i="1"/>
  <c r="AM133" i="1"/>
  <c r="AM132" i="1"/>
  <c r="D10" i="6" l="1"/>
  <c r="C9" i="5" l="1"/>
  <c r="B9" i="5"/>
  <c r="B5" i="4" l="1"/>
  <c r="C5" i="4"/>
  <c r="B11" i="4"/>
  <c r="AM131" i="1"/>
  <c r="AM130" i="1"/>
  <c r="AM129" i="1"/>
  <c r="AM128" i="1"/>
  <c r="AM127" i="1"/>
  <c r="AM126" i="1"/>
  <c r="AM125" i="1"/>
  <c r="AM124" i="1"/>
  <c r="AM123" i="1"/>
  <c r="AM122" i="1"/>
  <c r="AM121" i="1"/>
  <c r="AM120" i="1"/>
  <c r="AM119" i="1"/>
  <c r="AM118" i="1"/>
  <c r="AM117" i="1"/>
  <c r="AM116" i="1"/>
  <c r="AM115" i="1"/>
  <c r="AM114" i="1"/>
  <c r="AM113" i="1"/>
  <c r="AM101" i="1"/>
  <c r="Z101" i="1"/>
  <c r="AM112" i="1"/>
  <c r="AM111" i="1"/>
  <c r="AM110" i="1"/>
  <c r="AM109" i="1"/>
  <c r="AM108" i="1"/>
  <c r="AM107" i="1"/>
  <c r="AM106" i="1"/>
  <c r="AM105" i="1"/>
  <c r="AM104" i="1"/>
  <c r="AM103" i="1"/>
  <c r="AM102" i="1"/>
  <c r="AM100" i="1"/>
  <c r="AM99" i="1"/>
  <c r="AM98" i="1"/>
  <c r="AM97" i="1"/>
  <c r="B16" i="4" l="1"/>
  <c r="C17" i="8"/>
  <c r="C21" i="8" s="1"/>
  <c r="C11" i="4"/>
  <c r="E11" i="4" l="1"/>
  <c r="D11" i="4"/>
  <c r="D14" i="3"/>
  <c r="C14" i="3"/>
  <c r="C8" i="3"/>
  <c r="B8" i="3"/>
  <c r="F7" i="3"/>
  <c r="F6" i="3"/>
  <c r="F5" i="3"/>
  <c r="F2" i="3"/>
  <c r="AM96" i="1"/>
  <c r="F17" i="8" s="1"/>
  <c r="AM95" i="1"/>
  <c r="E4" i="7"/>
  <c r="AM94" i="1"/>
  <c r="AM93" i="1"/>
  <c r="D11" i="12"/>
  <c r="D13" i="12" s="1"/>
  <c r="C11" i="12"/>
  <c r="C13" i="12" s="1"/>
  <c r="AM92" i="1"/>
  <c r="C8" i="6"/>
  <c r="C10" i="6" s="1"/>
  <c r="B8" i="6"/>
  <c r="AM91" i="1"/>
  <c r="AM90" i="1"/>
  <c r="AM89" i="1"/>
  <c r="AM88" i="1"/>
  <c r="AM87" i="1"/>
  <c r="AM86" i="1"/>
  <c r="AM85" i="1"/>
  <c r="AM84" i="1"/>
  <c r="AM83" i="1"/>
  <c r="AM82" i="1"/>
  <c r="F18" i="4" s="1"/>
  <c r="F22" i="4" s="1"/>
  <c r="AM81" i="1"/>
  <c r="AM80" i="1"/>
  <c r="F19" i="8" s="1"/>
  <c r="AM79" i="1"/>
  <c r="AM78" i="1"/>
  <c r="B17" i="8" s="1"/>
  <c r="AM77" i="1"/>
  <c r="AM76" i="1"/>
  <c r="AM75" i="1"/>
  <c r="AM74" i="1"/>
  <c r="AL73" i="1"/>
  <c r="AM73" i="1" s="1"/>
  <c r="AL72" i="1"/>
  <c r="AM72" i="1" s="1"/>
  <c r="AM71" i="1"/>
  <c r="AM70" i="1"/>
  <c r="AM69" i="1"/>
  <c r="AM68" i="1"/>
  <c r="AM67" i="1"/>
  <c r="AM66" i="1"/>
  <c r="C16" i="4" s="1"/>
  <c r="AM65" i="1"/>
  <c r="D14" i="5"/>
  <c r="D15" i="5" s="1"/>
  <c r="C14" i="5"/>
  <c r="C15" i="5" s="1"/>
  <c r="F21" i="8" l="1"/>
  <c r="D4" i="7"/>
  <c r="B21" i="7"/>
  <c r="E21" i="7" s="1"/>
  <c r="B21" i="8"/>
  <c r="B11" i="12"/>
  <c r="B9" i="6"/>
  <c r="E9" i="6" s="1"/>
  <c r="E8" i="6"/>
  <c r="F8" i="3"/>
  <c r="O30" i="9"/>
  <c r="B10" i="6" l="1"/>
  <c r="E10" i="6" s="1"/>
  <c r="E11" i="12"/>
  <c r="E13" i="12" s="1"/>
  <c r="B13" i="12"/>
  <c r="D10" i="2"/>
  <c r="C10" i="2"/>
  <c r="C4" i="2"/>
  <c r="B4" i="2"/>
  <c r="AM64" i="1"/>
  <c r="AM63" i="1"/>
  <c r="AM62" i="1"/>
  <c r="AM60" i="1"/>
  <c r="AM59" i="1"/>
  <c r="AM58" i="1"/>
  <c r="E2" i="4" l="1"/>
  <c r="B12" i="3"/>
  <c r="B14" i="3" s="1"/>
  <c r="B8" i="2"/>
  <c r="E8" i="2" s="1"/>
  <c r="B9" i="2"/>
  <c r="E9" i="2" s="1"/>
  <c r="F7" i="12"/>
  <c r="B10" i="7"/>
  <c r="B10" i="2" l="1"/>
  <c r="E10" i="2" s="1"/>
  <c r="E10" i="7"/>
  <c r="E11" i="7" s="1"/>
  <c r="B11" i="7"/>
  <c r="AM57" i="1"/>
  <c r="AM56" i="1"/>
  <c r="AM55" i="1"/>
  <c r="B19" i="7" s="1"/>
  <c r="AM54" i="1"/>
  <c r="C17" i="7" s="1"/>
  <c r="C23" i="7" s="1"/>
  <c r="AM53" i="1"/>
  <c r="B17" i="7" s="1"/>
  <c r="E4" i="3"/>
  <c r="AM52" i="1"/>
  <c r="AM51" i="1"/>
  <c r="D16" i="6" s="1"/>
  <c r="D20" i="6" s="1"/>
  <c r="AM50" i="1"/>
  <c r="AM49" i="1"/>
  <c r="AM48" i="1"/>
  <c r="AM47" i="1"/>
  <c r="AM46" i="1"/>
  <c r="AM45" i="1"/>
  <c r="AM44" i="1"/>
  <c r="AM43" i="1"/>
  <c r="AM42" i="1"/>
  <c r="F2" i="4"/>
  <c r="AM41" i="1"/>
  <c r="C28" i="3" s="1"/>
  <c r="AM40" i="1"/>
  <c r="AM39" i="1"/>
  <c r="E19" i="12" s="1"/>
  <c r="E29" i="12" s="1"/>
  <c r="AM38" i="1"/>
  <c r="AM37" i="1"/>
  <c r="AM36" i="1"/>
  <c r="AM35" i="1"/>
  <c r="AM34" i="1"/>
  <c r="AM33" i="1"/>
  <c r="C19" i="12" s="1"/>
  <c r="C29" i="12" s="1"/>
  <c r="AM32" i="1"/>
  <c r="G18" i="4" s="1"/>
  <c r="G22" i="4" s="1"/>
  <c r="AM31" i="1"/>
  <c r="E3" i="2"/>
  <c r="AM30" i="1"/>
  <c r="AM29" i="1"/>
  <c r="E5" i="3"/>
  <c r="AM28" i="1"/>
  <c r="AM27" i="1"/>
  <c r="F25" i="12" s="1"/>
  <c r="F29" i="12" s="1"/>
  <c r="AM26" i="1"/>
  <c r="AM25" i="1"/>
  <c r="AM24" i="1"/>
  <c r="AM23" i="1"/>
  <c r="AM22" i="1"/>
  <c r="AM21" i="1"/>
  <c r="AM20" i="1"/>
  <c r="AM19" i="1"/>
  <c r="B21" i="5" s="1"/>
  <c r="F2" i="5"/>
  <c r="AM18" i="1"/>
  <c r="B15" i="2" s="1"/>
  <c r="AM17" i="1"/>
  <c r="AM16" i="1"/>
  <c r="F3" i="7"/>
  <c r="F5" i="7" s="1"/>
  <c r="AM15" i="1"/>
  <c r="E29" i="5" s="1"/>
  <c r="AM14" i="1"/>
  <c r="AM13" i="1"/>
  <c r="S13" i="1"/>
  <c r="Z13" i="1" s="1"/>
  <c r="AM12" i="1"/>
  <c r="AM10" i="1"/>
  <c r="AM9" i="1"/>
  <c r="AM8" i="1"/>
  <c r="AM7" i="1"/>
  <c r="AM6" i="1"/>
  <c r="F3" i="6"/>
  <c r="AM5" i="1"/>
  <c r="AM4" i="1"/>
  <c r="AM3" i="1"/>
  <c r="O26" i="9" l="1"/>
  <c r="E5" i="5"/>
  <c r="E6" i="12"/>
  <c r="E6" i="3"/>
  <c r="E2" i="3"/>
  <c r="N30" i="9"/>
  <c r="D4" i="4"/>
  <c r="B20" i="4"/>
  <c r="H20" i="4" s="1"/>
  <c r="F6" i="5"/>
  <c r="N25" i="9"/>
  <c r="E2" i="7"/>
  <c r="E5" i="7" s="1"/>
  <c r="E31" i="5"/>
  <c r="B20" i="3"/>
  <c r="C16" i="6"/>
  <c r="C20" i="6" s="1"/>
  <c r="B22" i="3"/>
  <c r="E25" i="9"/>
  <c r="H4" i="9"/>
  <c r="D19" i="7"/>
  <c r="E19" i="7" s="1"/>
  <c r="D3" i="7"/>
  <c r="D17" i="7"/>
  <c r="E17" i="7" s="1"/>
  <c r="D2" i="7"/>
  <c r="D17" i="8"/>
  <c r="E30" i="9"/>
  <c r="D2" i="8"/>
  <c r="H9" i="9"/>
  <c r="B23" i="7"/>
  <c r="O25" i="9"/>
  <c r="D3" i="2"/>
  <c r="B17" i="2"/>
  <c r="D17" i="2" s="1"/>
  <c r="G23" i="5"/>
  <c r="G35" i="5" s="1"/>
  <c r="E7" i="3"/>
  <c r="F4" i="4"/>
  <c r="D3" i="8"/>
  <c r="E19" i="8"/>
  <c r="N26" i="9"/>
  <c r="E2" i="12"/>
  <c r="B25" i="5"/>
  <c r="C15" i="2"/>
  <c r="D2" i="2"/>
  <c r="E26" i="9"/>
  <c r="H5" i="9"/>
  <c r="D3" i="6"/>
  <c r="B18" i="6"/>
  <c r="F18" i="6" s="1"/>
  <c r="O27" i="9"/>
  <c r="E4" i="12"/>
  <c r="N28" i="9"/>
  <c r="E2" i="6"/>
  <c r="E4" i="6" s="1"/>
  <c r="N27" i="9"/>
  <c r="E3" i="4"/>
  <c r="E5" i="4" s="1"/>
  <c r="F7" i="5"/>
  <c r="E3" i="3"/>
  <c r="E12" i="3"/>
  <c r="E14" i="3" s="1"/>
  <c r="N24" i="9"/>
  <c r="D4" i="12"/>
  <c r="B23" i="12"/>
  <c r="G23" i="12" s="1"/>
  <c r="D7" i="3"/>
  <c r="C30" i="3"/>
  <c r="E30" i="3" s="1"/>
  <c r="B19" i="12"/>
  <c r="D2" i="12"/>
  <c r="E16" i="6"/>
  <c r="E20" i="6" s="1"/>
  <c r="D5" i="3"/>
  <c r="D26" i="3"/>
  <c r="C18" i="4"/>
  <c r="C22" i="4" s="1"/>
  <c r="D29" i="5"/>
  <c r="E18" i="4"/>
  <c r="H6" i="9"/>
  <c r="E27" i="9"/>
  <c r="D3" i="4"/>
  <c r="D18" i="4"/>
  <c r="D22" i="4" s="1"/>
  <c r="D3" i="3"/>
  <c r="C22" i="3"/>
  <c r="E22" i="3" s="1"/>
  <c r="E24" i="9"/>
  <c r="H3" i="9"/>
  <c r="B16" i="6"/>
  <c r="H7" i="9"/>
  <c r="D2" i="6"/>
  <c r="E28" i="9"/>
  <c r="B24" i="3"/>
  <c r="E24" i="3" s="1"/>
  <c r="D4" i="3"/>
  <c r="E8" i="5"/>
  <c r="E3" i="12"/>
  <c r="F3" i="4"/>
  <c r="E5" i="12"/>
  <c r="N29" i="9"/>
  <c r="F2" i="2"/>
  <c r="F4" i="2" s="1"/>
  <c r="D27" i="12"/>
  <c r="D6" i="12"/>
  <c r="B28" i="3"/>
  <c r="E28" i="3" s="1"/>
  <c r="D6" i="3"/>
  <c r="D3" i="12"/>
  <c r="B21" i="12"/>
  <c r="G21" i="12" s="1"/>
  <c r="C20" i="3"/>
  <c r="D2" i="3"/>
  <c r="B18" i="4"/>
  <c r="E16" i="4"/>
  <c r="D2" i="4"/>
  <c r="B25" i="12"/>
  <c r="G25" i="12" s="1"/>
  <c r="D5" i="12"/>
  <c r="H8" i="9"/>
  <c r="E29" i="9"/>
  <c r="E2" i="2"/>
  <c r="E4" i="2" s="1"/>
  <c r="E4" i="5"/>
  <c r="B13" i="5"/>
  <c r="B29" i="5"/>
  <c r="C25" i="5"/>
  <c r="F23" i="5"/>
  <c r="D8" i="5"/>
  <c r="B33" i="5"/>
  <c r="H33" i="5" s="1"/>
  <c r="B31" i="5"/>
  <c r="H21" i="5"/>
  <c r="D6" i="5"/>
  <c r="C29" i="5"/>
  <c r="D5" i="5"/>
  <c r="D27" i="5"/>
  <c r="E25" i="5"/>
  <c r="F25" i="5"/>
  <c r="E7" i="5"/>
  <c r="E3" i="5"/>
  <c r="C23" i="5"/>
  <c r="E6" i="5"/>
  <c r="B23" i="5"/>
  <c r="D2" i="5"/>
  <c r="F3" i="5"/>
  <c r="E14" i="5"/>
  <c r="F4" i="5"/>
  <c r="D7" i="5"/>
  <c r="D4" i="5"/>
  <c r="D3" i="5"/>
  <c r="O23" i="9"/>
  <c r="E23" i="9"/>
  <c r="H2" i="9"/>
  <c r="E35" i="5" l="1"/>
  <c r="N23" i="9"/>
  <c r="N31" i="9" s="1"/>
  <c r="D4" i="6"/>
  <c r="E23" i="7"/>
  <c r="E8" i="3"/>
  <c r="D4" i="2"/>
  <c r="F5" i="4"/>
  <c r="H31" i="5"/>
  <c r="H29" i="5"/>
  <c r="D4" i="8"/>
  <c r="D23" i="7"/>
  <c r="D5" i="7"/>
  <c r="G19" i="8"/>
  <c r="E21" i="8"/>
  <c r="D21" i="8"/>
  <c r="G17" i="8"/>
  <c r="B19" i="2"/>
  <c r="D8" i="3"/>
  <c r="B32" i="3"/>
  <c r="F16" i="6"/>
  <c r="B20" i="6"/>
  <c r="F20" i="6" s="1"/>
  <c r="E26" i="3"/>
  <c r="D32" i="3"/>
  <c r="G19" i="12"/>
  <c r="B29" i="12"/>
  <c r="C32" i="3"/>
  <c r="E20" i="3"/>
  <c r="E7" i="12"/>
  <c r="F2" i="6"/>
  <c r="F4" i="6" s="1"/>
  <c r="E22" i="4"/>
  <c r="H16" i="4"/>
  <c r="D5" i="4"/>
  <c r="O28" i="9"/>
  <c r="O31" i="9" s="1"/>
  <c r="C19" i="2"/>
  <c r="D15" i="2"/>
  <c r="B22" i="4"/>
  <c r="H18" i="4"/>
  <c r="D29" i="12"/>
  <c r="G27" i="12"/>
  <c r="D7" i="12"/>
  <c r="E13" i="5"/>
  <c r="E15" i="5" s="1"/>
  <c r="B15" i="5"/>
  <c r="C35" i="5"/>
  <c r="F35" i="5"/>
  <c r="H23" i="5"/>
  <c r="B35" i="5"/>
  <c r="H25" i="5"/>
  <c r="D35" i="5"/>
  <c r="H27" i="5"/>
  <c r="F9" i="5"/>
  <c r="E9" i="5"/>
  <c r="D9" i="5"/>
  <c r="E31" i="9"/>
  <c r="H10" i="9"/>
  <c r="I2" i="9" s="1"/>
  <c r="D19" i="2" l="1"/>
  <c r="H22" i="4"/>
  <c r="G21" i="8"/>
  <c r="G29" i="12"/>
  <c r="E32" i="3"/>
  <c r="H35" i="5"/>
  <c r="F30" i="9"/>
  <c r="F24" i="9"/>
  <c r="F29" i="9"/>
  <c r="F28" i="9"/>
  <c r="F25" i="9"/>
  <c r="F26" i="9"/>
  <c r="F27" i="9"/>
  <c r="F23" i="9"/>
  <c r="I10" i="9"/>
  <c r="I9" i="9"/>
  <c r="I8" i="9"/>
  <c r="I7" i="9"/>
  <c r="I4" i="9"/>
  <c r="I3" i="9"/>
  <c r="I6" i="9"/>
  <c r="I5" i="9"/>
  <c r="F31" i="9" l="1"/>
</calcChain>
</file>

<file path=xl/sharedStrings.xml><?xml version="1.0" encoding="utf-8"?>
<sst xmlns="http://schemas.openxmlformats.org/spreadsheetml/2006/main" count="4154" uniqueCount="1572">
  <si>
    <t>Provider</t>
  </si>
  <si>
    <t>Project Type</t>
  </si>
  <si>
    <t>Description</t>
  </si>
  <si>
    <t>DY3 Baseline Denominator</t>
  </si>
  <si>
    <t>DY3 Baseline Numerator</t>
  </si>
  <si>
    <t>Bayshore Medical Center</t>
  </si>
  <si>
    <t>020817501.1.2</t>
  </si>
  <si>
    <t>020817501.3.2</t>
  </si>
  <si>
    <t>Crisis Stabilization</t>
  </si>
  <si>
    <t>• IT 3.15 Risk Adjusted Behavioral Health/Substance Abuse 30-day Readmission Rate</t>
  </si>
  <si>
    <t>• P4P</t>
  </si>
  <si>
    <t xml:space="preserve">• Expand existing telemedicine program to establish a 24/7 tele-psychiatry program in HCA's Bayshore ED and implement telemedicine capabilities in HCA's other local hospital EDs.  </t>
  </si>
  <si>
    <t xml:space="preserve">Encounters </t>
  </si>
  <si>
    <t>The number of telemedicine visits for specialty identified as high need</t>
  </si>
  <si>
    <t>Memorial Hermann Northwest Hospital</t>
  </si>
  <si>
    <t>020834001.1.3</t>
  </si>
  <si>
    <t>020834001.3.3</t>
  </si>
  <si>
    <t>Expand Behavioral Health</t>
  </si>
  <si>
    <t>• Expand home health service to include psychiatric services. Includes specialized training &amp; certifications for nurses &amp; addition of social work services to link clients to additional community care programs. 
• Goal is to provide support of patients with mental health issues, to better manage their care in the home &amp; community, &amp; reduce number of visits to EDs for psychiatric care that could be managed in the home/community environment.</t>
  </si>
  <si>
    <t>Percent utilization of community behavioral healthcare services.</t>
  </si>
  <si>
    <t>Texana Center</t>
  </si>
  <si>
    <t>081522701.1.1</t>
  </si>
  <si>
    <t>081522701.3.1
081522701.3.200</t>
  </si>
  <si>
    <t>• IT 10.4.a Developmental Profile 3 (DP-3)
• IT 10.4.b Vineland Adaptive Behavior Scales, 2nd Edition (VABS II)</t>
  </si>
  <si>
    <t>• Enhance service availability of appropriate levels of behavioral health care (applied behavior analysis, ABA, and speech-language pathology for children diagnosed with autism spectrum disorders, ASD) to expand the number of community based settings where behavioral health services may be delivered in underserved areas.</t>
  </si>
  <si>
    <t>23
23</t>
  </si>
  <si>
    <t>667
1442</t>
  </si>
  <si>
    <t>29
62.6957</t>
  </si>
  <si>
    <t xml:space="preserve">Individuals </t>
  </si>
  <si>
    <t>Number of individuals recieving community behavioral healthcare services.</t>
  </si>
  <si>
    <t>081522701.1.2</t>
  </si>
  <si>
    <t>081522701.3.2</t>
  </si>
  <si>
    <t>• IT 1.18 Follow-Up After Hospitalization for Mental Illness</t>
  </si>
  <si>
    <t xml:space="preserve">• Develop an 8 bed 48-hour extended observation unit and a 14 bed crisis residential unit where individuals in crisis may go to be assessed and stabilized by providing crisis intervention services.
</t>
  </si>
  <si>
    <t>Data absent in the template</t>
  </si>
  <si>
    <t>Data absent in  the template</t>
  </si>
  <si>
    <t>Number of unique individuals receiving appropriate crisis stabilization alternative services.</t>
  </si>
  <si>
    <t>081522701.1.3</t>
  </si>
  <si>
    <t>081522701.3.4</t>
  </si>
  <si>
    <t>• IT 10.3d Battelle Development Inventory-2 (BDI-2)</t>
  </si>
  <si>
    <t>• Implement a system of early identification and delivery of therapeutic services for children with developmental delays that blends the best aspect of private therapy and a natural environment based model and includes social work and/or monitoring by a child development specialist to support parental involvement and supplement the number of clinical hours recommended.</t>
  </si>
  <si>
    <t xml:space="preserve">Documentation of increased number of visits. </t>
  </si>
  <si>
    <t>081522701.2.1</t>
  </si>
  <si>
    <t>081522701.3.3</t>
  </si>
  <si>
    <t>• IT 11.26b Aberrant Behavior Checklist (ABC)</t>
  </si>
  <si>
    <t>• P4R</t>
  </si>
  <si>
    <t>• Create a crisis behavioral health care team to intervene to keep individuals in crisis out of the State Support Living Centers, emergency rooms, state mental health hospitals or jail. Individuals dually diagnosed (intellectual and developmental disability, pervasive developmental disorder or mental retardation who have a co-occurring serious and persistent mental illness.</t>
  </si>
  <si>
    <t xml:space="preserve">Number of targeted individuals enrolled / served in the project
</t>
  </si>
  <si>
    <t xml:space="preserve">Texana Center </t>
  </si>
  <si>
    <t>081522701.2.100</t>
  </si>
  <si>
    <t>081522701.3.100</t>
  </si>
  <si>
    <t>Integrated Care</t>
  </si>
  <si>
    <t>• IT 1.7 Controlling High blood pressure</t>
  </si>
  <si>
    <t>• This project will hire a primary care physician and other appropriate staff to provide primary care services to the Medicaid and uninsured population currently being served by Texana Center for their mental illness.  By providing both services in the same building, by the same performing provider, a “warm” hand off can be made the same day as the visit to the behavioral healthcare provider.  
• The interventions will include screenings, treatment, medication services, education services including disease management and nutrition, exercise and wellness.</t>
  </si>
  <si>
    <t/>
  </si>
  <si>
    <t>City of Houston Department of Health and Human Services</t>
  </si>
  <si>
    <t>093774008.1.4</t>
  </si>
  <si>
    <t>093774008.3.10</t>
  </si>
  <si>
    <t>• IT 9.1 Decrease in mental health admissions and readmissions to criminal justice settings such as jails or prisons</t>
  </si>
  <si>
    <t xml:space="preserve">• Develop and implement crisis stabilization services to address the identified gaps in the
current community crisis system.
</t>
  </si>
  <si>
    <t>093774008.2.8</t>
  </si>
  <si>
    <t>093774008.3.14
093774008.3.500</t>
  </si>
  <si>
    <t xml:space="preserve">• IT 10.1.B.iii RAND Short Form 36[1] (SF-36) Health Survery
• IT 11.26.e.i Patient Health Questionnaire 9 (PHQ-9)
</t>
  </si>
  <si>
    <t>• P4P
• P4P</t>
  </si>
  <si>
    <t xml:space="preserve">• Design, implement, and evaluate research‐supported and evidence‐based
interventions tailored towards individuals in the target population.
</t>
  </si>
  <si>
    <t>154
135.00</t>
  </si>
  <si>
    <t>6192
1199</t>
  </si>
  <si>
    <t>40.20779
8.881481</t>
  </si>
  <si>
    <t>Spindletop Center</t>
  </si>
  <si>
    <t>096166602.2.1</t>
  </si>
  <si>
    <t>096166602.3.1</t>
  </si>
  <si>
    <t>• IT 1.10 Diabetes Care: HbA1c poor control (&gt;9.0%)</t>
  </si>
  <si>
    <t>• Co-locate primary care clinics in its buildings to facilitate coordination of primary &amp; behavioral healthcare. 
• A mobile clinic will be acquired to provide physical &amp; behavioral health services for clients in locations other than existing Spindletop clinics. Will also implement Individualized Self Health Action Plan for Empowerment (“In SHAPE”), a wellness program for individuals with mental illness.</t>
  </si>
  <si>
    <t>096166602.2.2</t>
  </si>
  <si>
    <t>096166602.3.2</t>
  </si>
  <si>
    <t>Health Education</t>
  </si>
  <si>
    <t>• IT 6.2.a Client Satisfaction Questionnaire 8 (CSQ-8)</t>
  </si>
  <si>
    <t>• Develop a web-based portal through which clients can access their health information, implement a system to send reminders and alerts to clients via phone and/or email, and train clients on how to access and use the information to manage their behavioral and physical health care.</t>
  </si>
  <si>
    <t>Percentage of participants successfully managing their health</t>
  </si>
  <si>
    <t>The University of Texas Health Science Center - Houston</t>
  </si>
  <si>
    <t>111810101.1.100</t>
  </si>
  <si>
    <t xml:space="preserve">111810101.3.100
111810101.3.502
111810101.3.503
</t>
  </si>
  <si>
    <t xml:space="preserve">• IT 11.26.d Children and Adolescent Needs and Strengths Assessment
(CANS-MH) 
• IT 11.15 Depression Screening by 18 years of age
• IT 11.22 Child and Adolescent Major Depressive Disorder: Suicide Risk Assessment </t>
  </si>
  <si>
    <t>• P4R
• P4R
• P4R</t>
  </si>
  <si>
    <t xml:space="preserve">• The program will expand capacity and access to Trauma Informed care (TIC) mental health services for children and adolescents and will conduct mental health assessments, and provide a number of interventions with a particular focus on addressing trauma in underserved children.  
• The TIC primary intervention offered will include Trauma-Focused Cognitive Behavioral Therapy (TF-CBT), an evidence-based practice and general counseling (such as Cognitive Behavioral Therapy).  
• In order to expand access and capacity, these interventions will be anchored in DePelchin satellite clinics in proximity to several areas of socioeconomic need and will then progressively expand to community settings such as schools and primary care clinics. 
• Developing a telemedicine capability for children in Foster Care. </t>
  </si>
  <si>
    <t>Increase in number of individuals utilizing community behavioral healthcare services</t>
  </si>
  <si>
    <t>111810101.2.7</t>
  </si>
  <si>
    <t>111810101.3.28</t>
  </si>
  <si>
    <t>• IT 1.9 Depression management: Depression Remission at Twelve Months</t>
  </si>
  <si>
    <t>Implement and evaluate a project that will integrate primary and behavioral healthcare services within UT Physicians' clinics to achieve a close collaboration in a partly integrated system of care (Level IV).  A behavioral health provider will be placed in the primary care setting to provide patients with behavioral health services at their usual source of health care.</t>
  </si>
  <si>
    <t>Individuals receiving both physical and behavioral health care at the established locations</t>
  </si>
  <si>
    <t>111810101.2.8</t>
  </si>
  <si>
    <t>111810101.3.33
111810101.3.501</t>
  </si>
  <si>
    <t>• IT 10.1.a.v Pediatric Quality of Life Inventory (PedsQL)
• IT 11.15 Depression Screening by 18 years of age</t>
  </si>
  <si>
    <t>• P4P
• P4R</t>
  </si>
  <si>
    <t xml:space="preserve">• Implement and evaluate a project that will integrate primary and behavioral healthcare services for children and adolescents within UT Physicians' clinics to achieve a close collaboration in a partly integrated system of care (Level IV).  
• A pediatric behavioral health provider will be placed in the primary care setting to children and adolescents with behavioral health services at their usual source of health care. </t>
  </si>
  <si>
    <t>MHMRA-Harris County</t>
  </si>
  <si>
    <t>113180703.1.1</t>
  </si>
  <si>
    <t>113180703.3.1
113180703.3.22</t>
  </si>
  <si>
    <t xml:space="preserve">• IT 11.26.e.i Patient Health Questionnaire 9 (PHQ-9)
• IT 11.26c Adult Needs and Strength Assessment (ANSA) </t>
  </si>
  <si>
    <t>• Place one new treatment team which can serve about 500 consumers on an outpatient basis in the Northwest region of the city.</t>
  </si>
  <si>
    <t>56
1071</t>
  </si>
  <si>
    <t>701.12
3786.04</t>
  </si>
  <si>
    <t>12.52
3.535051</t>
  </si>
  <si>
    <t>113180703.1.10</t>
  </si>
  <si>
    <t xml:space="preserve">113180703.3.19
113180703.3.29
113180703.3.201
113180703.3.202
</t>
  </si>
  <si>
    <t>• IT 6.1.b.ii CG-CAHPS 12-month: Provider Communication
• IT 11.16 Assesment for Substance Abuse Problems of Psychiatric Patients
• IT 11.19 Assesment for Psychosocial Issues of  Psychiatric Patients
• IT 11.21 Assesment of Major Depressive Symtoms</t>
  </si>
  <si>
    <t>• Establish behavioral healthcare clinic with the Lighthouse facility in order to provide mental health treatment capacity for persons with visual impairment. 
• Project will develop a specialized behavioral health team consisting of mental health, physical health, case management services, wraparound supports, and adaptive technology.</t>
  </si>
  <si>
    <t>30
30
30
15</t>
  </si>
  <si>
    <t>688
21
30
15</t>
  </si>
  <si>
    <t>22.93333
0.7
1
1</t>
  </si>
  <si>
    <t>Encounters</t>
  </si>
  <si>
    <t>Documentation of increased number of unique patients, or size of patient panels. Demonstrate improvement over prior reporting period (baseline for DY2).</t>
  </si>
  <si>
    <t>113180703.1.100</t>
  </si>
  <si>
    <t>113180703.3.100
113180703.3.101</t>
  </si>
  <si>
    <t>• IT 6.1.b.ii CG-CAHPS 12-month: Provider Communication
•IT 11.25 Daily Living Activities (DLA-20)</t>
  </si>
  <si>
    <t xml:space="preserve">• MHMRA will expand its current co-occurring disorders program from a 30 bed to an ultimate 60 bed capacity.  
• In this program, MHMRA partners with licensed chemical dependency residential treatment providers to offer up to 90 days of integrated co-occurring disorders care. 
• Current research indicates this is a best practice and requires a wide range of collaboration between substance-use and mental health arenas.  Integrated treatment providers have a broad knowledge base and are equipped to treat individuals with co-occurring disorders.
</t>
  </si>
  <si>
    <t>Number of people receiving community behavioral healthcare services from appropriate crisis alternatives</t>
  </si>
  <si>
    <t>113180703.1.101</t>
  </si>
  <si>
    <t>113180703.3.500</t>
  </si>
  <si>
    <t>Case Management</t>
  </si>
  <si>
    <t xml:space="preserve">• MHMRA proposes to develop a behavioral health crisis stabilization service as an alternative to hospitalization. 
• The MHMRA HelpLine will make follow-up calls and texts to clients who have been released from Psychiatric Emergency Services (PES), Mobile Crisis Outreach Team (MCOT), HCPC and Chronic Consumer Stabilization Initiative (CCSI) to ensure they are following through on their discharge plans, taking medications and getting connected to the next level of care. </t>
  </si>
  <si>
    <t>Number of encounters provided by telemental services</t>
  </si>
  <si>
    <t>113180703.1.11</t>
  </si>
  <si>
    <t>113180703.3.21</t>
  </si>
  <si>
    <t>• IT 11.26c Adult Needs and Strength Assessment (ANSA)</t>
  </si>
  <si>
    <t>• Develop a 24-bed behavioral health crisis stabilization service as an alternative to Hospitalization.</t>
  </si>
  <si>
    <t>Patient admissions to CRU program</t>
  </si>
  <si>
    <t>113180703.1.12</t>
  </si>
  <si>
    <t>• IT 11.6 Follow-up Care for Children Prescribed ADHD Medication (ADD)
• IT-11.26.d Children and Adolescent Needs and Strengths Assessment
(CANS-MH)</t>
  </si>
  <si>
    <t xml:space="preserve">• Increase outpatient capacity by approximately 400 children and adolescents by implementing 1.5 treatment teams to provide cognitive-behavioral therapy, psychosocial skills training, consultation for school staff and pediatric staff, family interventions, psychiatric assessment, medication management and case-management as needed. </t>
  </si>
  <si>
    <t xml:space="preserve">Data absent in template
71
</t>
  </si>
  <si>
    <t>Data absent in template
151.74</t>
  </si>
  <si>
    <t>Data absent in template
2.137183</t>
  </si>
  <si>
    <t>Number of unique individuals receiving community based behavioral health services</t>
  </si>
  <si>
    <t>113180703.1.3</t>
  </si>
  <si>
    <t>113180703.3.3
113180703.3.23</t>
  </si>
  <si>
    <t xml:space="preserve">• IT 6.1.b.ii CG-CAHPS 12-month: Provider Communication
• IT 11.26b Aberrant Behavior Checklist </t>
  </si>
  <si>
    <t>• Expand capacity for the current specialized behavioral health services provided to people with Intellectual and Developmental Disabilities (IDD) and/or Autism Spectrum Disorders (ASD) and co-occurring mental illness by adding additional staff.</t>
  </si>
  <si>
    <t>158
90</t>
  </si>
  <si>
    <t>143
5320.8</t>
  </si>
  <si>
    <t>0.905063
59.12</t>
  </si>
  <si>
    <t xml:space="preserve">Documentation of increased number of visits. 
</t>
  </si>
  <si>
    <t>113180703.1.4</t>
  </si>
  <si>
    <t>113180703.3.4
113180703.3.24</t>
  </si>
  <si>
    <t>• Place one new treatment team which can serve about 500 consumers on an outpatient basis in the Northeast region of the city.</t>
  </si>
  <si>
    <t>56
275.00</t>
  </si>
  <si>
    <t>701.12
868.88</t>
  </si>
  <si>
    <t>12.52
3.1596</t>
  </si>
  <si>
    <t>Number of patients who utilize community behavioral healthcare services.</t>
  </si>
  <si>
    <t>113180703.1.5</t>
  </si>
  <si>
    <t>113180703.3.5
113180703.3.25</t>
  </si>
  <si>
    <t>• Place one new treatment team which can serve about 500 consumers on an outpatient basis in the Southwest region of the city.</t>
  </si>
  <si>
    <t>56
2889</t>
  </si>
  <si>
    <t>701.12
8721.83</t>
  </si>
  <si>
    <t>113180703.1.6</t>
  </si>
  <si>
    <t xml:space="preserve">113180703.3.6
113180703.3.26
</t>
  </si>
  <si>
    <t>• Place one new treatment team which can serve about 500 consumers on an outpatient basis in the Southeast region of the city.</t>
  </si>
  <si>
    <t>56
412</t>
  </si>
  <si>
    <t>701.12
1274.01</t>
  </si>
  <si>
    <t>113180703.1.7</t>
  </si>
  <si>
    <t xml:space="preserve">113180703.3.7
113180703.3.27
</t>
  </si>
  <si>
    <t>• Place one new treatment team in the region of the city in the most need of additional services. Each treatment team can serve roughly 500 consumers.</t>
  </si>
  <si>
    <t>56
266</t>
  </si>
  <si>
    <t>701.12
885.64</t>
  </si>
  <si>
    <t>113180703.1.8</t>
  </si>
  <si>
    <t>113180703.3.15
113180703.3.28</t>
  </si>
  <si>
    <t>• The Interim Care Clinic (ICC) is designed to provide initial evaluation and treatment in a single visit. The clinic will include extended evening hours and availability 7 days a week.</t>
  </si>
  <si>
    <t>1908
1976</t>
  </si>
  <si>
    <t>1900
8572.04</t>
  </si>
  <si>
    <t>0.995807
4.338077</t>
  </si>
  <si>
    <t>Patients served at ICC program</t>
  </si>
  <si>
    <t>113180703.1.9</t>
  </si>
  <si>
    <t>• Implement the ICCD Clubhouse Model, which is a day treatment program for psychosocial rehabilitation of adults diagnosed with a serious and persistent, chronically disabling mental health problem.  We will be contracting St. Joseph’s House to provide psychosocial rehabilitative services.</t>
  </si>
  <si>
    <t>50
Data absent in the template</t>
  </si>
  <si>
    <t>9
Data absent in the template</t>
  </si>
  <si>
    <t>0.18
Data absent in the template</t>
  </si>
  <si>
    <t>Number of patients who utilize community behavioral healthcare services</t>
  </si>
  <si>
    <t>113180703.2.1</t>
  </si>
  <si>
    <t>113180703.3.8
113180703.3.30</t>
  </si>
  <si>
    <t>• IT 1.7 Controlling high blood pressure
• IT 1.10 Diabetes Care: HbA1c poor control (&gt;9.0%)</t>
  </si>
  <si>
    <t>• Design, implement and evaluate a care management program that integrates primary and behavioral health care services.</t>
  </si>
  <si>
    <t>Number of Individuals receiving both physical and behavioral health care at the established locations.
the established locations.</t>
  </si>
  <si>
    <t>113180703.2.100</t>
  </si>
  <si>
    <t>113180703.3.102
113180703.3.103</t>
  </si>
  <si>
    <t>• IT 6.1.b.ii CG-CAHPS 12-month: Provider Communication
• IT 11.25 Daily Living Activities (DLA-20)</t>
  </si>
  <si>
    <t xml:space="preserve">• MHMRA plans to expand the Chronic Consumer Stabilization Initiative (CCSI), an interagency collaboration with the Houston Police Department (HPD). Staff members provide intensive case management and work directly with individuals, family members, health providers, and/or staff at living facilities. MHMRA provides family and community education about mental illness, outreach and engagement, intensive case management, Mental Health First Aid (an evidence-based mental health awareness program for community members), navigation to address physical health, housing and other social needs, crisis intervention and advocacy typically for several months, which is longer than other crisis diversion programs. </t>
  </si>
  <si>
    <t>17
60</t>
  </si>
  <si>
    <t>374
227.93</t>
  </si>
  <si>
    <t>Individuals</t>
  </si>
  <si>
    <t>Number of targeted individuals enrolled/served in the project</t>
  </si>
  <si>
    <t>113180703.2.101</t>
  </si>
  <si>
    <t>113180703.3.104
113180703.3.105</t>
  </si>
  <si>
    <t xml:space="preserve">• MHMRA proposes to expand the current Mobile Crisis Outreach Team (MCOT), which provides mobile crisis outreach and follow-up to adults and children who are unable or unwilling to access traditional psychiatric services.
• When a consumer initiates an MCOT intervention, two trained MCOT staff responds to the consumers’ needs, meeting them in a variety of settings including in the consumer’s community, home, or school and provide assessment, intervention, education, and linkage to other services to address identified needs.   </t>
  </si>
  <si>
    <t>67
1293</t>
  </si>
  <si>
    <t>1535.92
5456.46</t>
  </si>
  <si>
    <t>22.92418
4.22</t>
  </si>
  <si>
    <t>113180703.2.102</t>
  </si>
  <si>
    <t>113180703.3.106
113180703.3.107</t>
  </si>
  <si>
    <t xml:space="preserve">• The Critical Time Intervention Program (CTI) is a nine-month case management model emphasizing developing community linkages and enhancing treatment engagement for mentally ill individuals undergoing transition. </t>
  </si>
  <si>
    <t>Data absent in the template
30.00</t>
  </si>
  <si>
    <t>Data absent in the template
149.4</t>
  </si>
  <si>
    <t>Data absent in the template
4.9800</t>
  </si>
  <si>
    <t>113180703.2.103</t>
  </si>
  <si>
    <t>113180703.3.108
113180703.3.109</t>
  </si>
  <si>
    <t xml:space="preserve">• Provide an intervention for a targeted behavioral health population to prevent unnecessary use of services in a specified setting: Preventative mental health care for foster youth. </t>
  </si>
  <si>
    <t>113180703.2.104</t>
  </si>
  <si>
    <t>113180703.3.111
113180703.3.203
113180703.3.204</t>
  </si>
  <si>
    <t>• IT 8.23 Children and Adolescents’ Access to Primary Care Practitioners (CAP)
• IT 8.22 Well-Child Visits in the Third, Fourth, Fifth and Sixth Years of Life
• IT 8.24 Adolescent Well-Care Visits (AWC)</t>
  </si>
  <si>
    <t>• P4P
• P4P
• P4P</t>
  </si>
  <si>
    <t xml:space="preserve">• Implementation of an electronic system that will enable juvenile service providers to work together in a coordinated approach guided by mutually identified goals, shared access to information, and a collaborative treatment and service plan. </t>
  </si>
  <si>
    <t>113180703.2.105</t>
  </si>
  <si>
    <t>113180703.3.112
113180703.3.113</t>
  </si>
  <si>
    <t xml:space="preserve">• IT 6.1.b.ii CG-CAHPS 12-month: Provider Communication
• IT 11.8 Initiation and Engagement of Alcohol and Other Drug Dependence Treatment </t>
  </si>
  <si>
    <t>• The proposed project will increase local treatment capacity by adding 8 new residential detoxification beds, with 4 of those beds available to women accompanied by their children. 
• Average length of stay will range from 5-14 days depending on type of substance used and duration of use, severity of co-occurring mental health issues, and pregnancy/health status.</t>
  </si>
  <si>
    <t>113180703.2.2</t>
  </si>
  <si>
    <t>113180703.3.9
113180703.3.31</t>
  </si>
  <si>
    <t>• IT 11.8 Initiation and Engagement of Alcohol and Other Drug Dependence Treatment
• IT 11.26c Adult Needs and Strength Assessment (ANSA)</t>
  </si>
  <si>
    <t>• Substance abuse treatment services will be integrated and embedded into existing MHMRA mental health treatment services.</t>
  </si>
  <si>
    <t>805
884</t>
  </si>
  <si>
    <t>23
2940.12</t>
  </si>
  <si>
    <t>0.028571
3.325928</t>
  </si>
  <si>
    <t>Number of targeted individuals enrolled / served in the project</t>
  </si>
  <si>
    <t>113180703.2.3</t>
  </si>
  <si>
    <t>113180703.3.10
113180703.3.32</t>
  </si>
  <si>
    <t>• IT 3.15  Risk Adjusted Behavioral Health/Substance Abuse 30-day Readmission Rate
• IT 11.25 Daily Living Activities (DLA 20)</t>
  </si>
  <si>
    <t>• The HCPC transition program will hire licensed MH professionals to engage pts pre-discharge from HCPC and assist with successfully linking them to community MH treatment</t>
  </si>
  <si>
    <t>9.15
224</t>
  </si>
  <si>
    <t>5.4
674</t>
  </si>
  <si>
    <t>0.590164
3.008929</t>
  </si>
  <si>
    <t>Measure baseline of the use of warm handoffs for adult inpatients being discharged to the community</t>
  </si>
  <si>
    <t>113180703.2.4</t>
  </si>
  <si>
    <t>113180703.3.11
113180703.3.33</t>
  </si>
  <si>
    <t>• Expand the Chronic Consumer Stabilization Initiative (CSSI), an interagency collaboration with the Houston PD. Staff members provide intensive case management and work directly with individuals, family members, health providers, and/or staff at living facilities. 
• MHMRA provides family and community education.</t>
  </si>
  <si>
    <t>17
17</t>
  </si>
  <si>
    <t>1
1</t>
  </si>
  <si>
    <t>113180703.2.5</t>
  </si>
  <si>
    <t>113180703.3.12
113180703.3.34</t>
  </si>
  <si>
    <t>• IT 6.1.b.ii CG-CAHPS 12-month: Provider Communication
• IT 11.26c Adult Needs and Strength Assessment (ANSA)</t>
  </si>
  <si>
    <t>• Expand the current Mobile Crisis Outreach Team, which provides mobile crisis outreach and follow-up to adults and children who are unable or unwilling to access traditional psychiatric services. 
• When a consumer initiated and MCOT intervention, two trained MOCT staff responds to the consumers' needs, meeting them in a variety of settings.</t>
  </si>
  <si>
    <t>67
5197</t>
  </si>
  <si>
    <t>1535.92
17636.3</t>
  </si>
  <si>
    <t>22.92418
3.3935</t>
  </si>
  <si>
    <t>113180703.2.7</t>
  </si>
  <si>
    <t>113180703.3.36</t>
  </si>
  <si>
    <t>• Expansion of three additional team of the Crisis Intervention Response Team, which is a program that partners law enforcement officers who are certified in crisis intervention training with licensed master-level clinicians to respond to law enforcement calls.</t>
  </si>
  <si>
    <t>1656
84</t>
  </si>
  <si>
    <t>7398
7714.6</t>
  </si>
  <si>
    <t>4.467391
91.84048</t>
  </si>
  <si>
    <t>Number of calls in which  new CIRT teams respond</t>
  </si>
  <si>
    <t>113180703.2.8</t>
  </si>
  <si>
    <t>113180703.3.16
113180703.3.37</t>
  </si>
  <si>
    <t xml:space="preserve">• IT 6.1.b.ii CG-CAHPS 12-month: Provider Communication
• IT 10.2.a Supports Intensity Scale (SIS) </t>
  </si>
  <si>
    <t>• Develop wrap-around and in-home services for high risk consumers with Intellectual and Developmental Disabilities and Autism Spectrum Disorders and their families to avoid utilization of intensive, costlier services.</t>
  </si>
  <si>
    <t>113180703.2.9</t>
  </si>
  <si>
    <t>113180703.3.38
113180703.3.17</t>
  </si>
  <si>
    <t>• IT 1.18 Follow Up After Hospitalization for Mental Illness
• IT 3.14 Behavioral Health/Substance Abuse 30-day Readmission Rate</t>
  </si>
  <si>
    <t>• Expand and further develop the Inpatient Consultation and Liaison (C&amp;L) team that provides consultation and services to patients suspected of Intellectual and Developmental Disabilities and Autism Spectrum Disorders.</t>
  </si>
  <si>
    <t>122
13</t>
  </si>
  <si>
    <t>3
122</t>
  </si>
  <si>
    <t>Increase in High Risk Patients who are discharged with customized care plans.</t>
  </si>
  <si>
    <t xml:space="preserve">OakBend Medical Center </t>
  </si>
  <si>
    <t>127303903.3.100</t>
  </si>
  <si>
    <t xml:space="preserve">• IT 3.15 Risk Adjusted Behavioral Health /Substance Abuse 30-day Readmission Rate </t>
  </si>
  <si>
    <t xml:space="preserve">• Provide rapid access to initial psychiatric treatment and outpatient services for patients with behavioral health needs who frequently seek treatment in the Emergency Department.  </t>
  </si>
  <si>
    <t>Increased number of unique patients served by Navigator program</t>
  </si>
  <si>
    <t>Harris Health System</t>
  </si>
  <si>
    <t>133355104.1.10</t>
  </si>
  <si>
    <t>133355104.3.12</t>
  </si>
  <si>
    <t>• IT 11.26.e.i Patient Health Questionnaire 9 (PHQ-9)</t>
  </si>
  <si>
    <t>• Enhance service availability of appropriate levels of behavioral health care by expanding mental health services in the ambulatory care setting. 
• Therapists and psychiatrists will be added (13.4 Psychiatry and Behavioral Health FTEs).</t>
  </si>
  <si>
    <t>Number of unique individuals receiving  BH services through expansion of services</t>
  </si>
  <si>
    <t>133355104.1.9</t>
  </si>
  <si>
    <t>133355104.3.11</t>
  </si>
  <si>
    <t>• Address the shortage of pediatric and adolescent behavioral health services by implementing and expanding these services across nine facilities within the system. 
• Add 3.7 FTE’s of psychiatry and 7.6 FTE’s of behavioral therapy.</t>
  </si>
  <si>
    <t xml:space="preserve">Percent utilization of community behavioral healthcare services.
</t>
  </si>
  <si>
    <t>Gulf Bend</t>
  </si>
  <si>
    <t>135254407.2.1</t>
  </si>
  <si>
    <t>135254407.3.1</t>
  </si>
  <si>
    <t xml:space="preserve">• IT 1.18 Follow-Up After Hospitalization for Mental Illness </t>
  </si>
  <si>
    <t>• Develop and implement a Person-Centered Behavioral Health Medical Home in Port Lavaca offering behavioral health services, primary care services, health behavior education and training programs, long and short term, and case management.</t>
  </si>
  <si>
    <t xml:space="preserve">Data absent in the template </t>
  </si>
  <si>
    <t>20% of Individuals with a treatment plan developed and implemented with primary care and behavioral health expertise</t>
  </si>
  <si>
    <t>Memorial Hermann Hospital</t>
  </si>
  <si>
    <t>137805107.1.2</t>
  </si>
  <si>
    <t>137805107.3.2</t>
  </si>
  <si>
    <t>• Develop a crisis stabilization clinic that would provide rapid access to initial psychiatric treatment and outpatient services.</t>
  </si>
  <si>
    <t>Increase in utilization of appropriate crisis alternatives.</t>
  </si>
  <si>
    <t>Memorial Medical Center</t>
  </si>
  <si>
    <t>137909111.1.100</t>
  </si>
  <si>
    <t>137909111.3.100
137909111.3.205</t>
  </si>
  <si>
    <t>• IT 6.2.c Health Center Patient Satisfaction Survey
• IT 11.26.e.i Patient Health Questionnaire 9 (PHQ-9)</t>
  </si>
  <si>
    <t>• This project is supportive of our Region’s goal to expand access to behavioral health care services in an outpatient setting and provide patients with the care they need, when they need it.</t>
  </si>
  <si>
    <t>14
33</t>
  </si>
  <si>
    <t>9.66
358</t>
  </si>
  <si>
    <t>Number of encounters provided in community based behavioral healthcare setting</t>
  </si>
  <si>
    <t>Methodist Hospital</t>
  </si>
  <si>
    <t>137949705.2.1</t>
  </si>
  <si>
    <t>137949705.3.1</t>
  </si>
  <si>
    <t>• Facilitate effective transitions of care to behavioral health and primary care through locations within Harris County including Harris Health System, MHMRA, private physicians, and SJMH Family Medicine Residency physicians. 
• Leverage community mental health workers to connect patients with existing primary care and mental health resources.</t>
  </si>
  <si>
    <t xml:space="preserve">Increase in number of patients receiving Follow‐Up After Hospitalization for Mental </t>
  </si>
  <si>
    <t>Texas Children's Hospital</t>
  </si>
  <si>
    <t>139135109.1.16</t>
  </si>
  <si>
    <t>139135109.3.42</t>
  </si>
  <si>
    <t xml:space="preserve"> • IT 11.26.e.v Edinburg Postpartum Depression Scale </t>
  </si>
  <si>
    <t>• Create access resources which will allow us to diagnosis women quicker and enhance their quality of life. 
• Educating and training obstetricians and pediatricians to improve screening in post-partum depression.</t>
  </si>
  <si>
    <t>Documentation of increased number of visits.</t>
  </si>
  <si>
    <t>Methodist Willowbrook Hospital</t>
  </si>
  <si>
    <t>140713201.2.1</t>
  </si>
  <si>
    <t>140713201.3.1</t>
  </si>
  <si>
    <t>• By facilitating effective transitions of care to behavioral health and primary care through locations within Harris County including HARRIS HEALTH SYSTEM, MHMRA, private physicians, and SJMH Family Medicine Residency physicians we seek to help patients navigate a complicated health-care landscape. 
• Outpatient Service Availability is limited, and so we hope to leverage the community mental health workers to connect and encourage care within existing primary care and mental health resources.</t>
  </si>
  <si>
    <t xml:space="preserve">Increase in number of patients receiving Follow‐Up After Hospitalization for Mental Illness within 7 and 30 days </t>
  </si>
  <si>
    <t>St. Joseph Medical Center</t>
  </si>
  <si>
    <t>181706601.2.1</t>
  </si>
  <si>
    <t>181706601.3.1</t>
  </si>
  <si>
    <t xml:space="preserve">• Expand services to individuals that have a mental health and/ or other substance abuse disorder through a partial hospitalization program. </t>
  </si>
  <si>
    <t xml:space="preserve">These "high risk" patients  will receive services through St. Joseph Medical Center either on-site at the hospital or off-site at a TBD location as a part of the licensed facility.  Care plans will be updated and customized prior to discharge.  </t>
  </si>
  <si>
    <t>181706601.2.2</t>
  </si>
  <si>
    <t>181706601.3.2</t>
  </si>
  <si>
    <t>• This proposed unit will meet the needs of adults (ages 18 and above) who have a primary medical diagnosis with a co-occurring psychiatric diagnosis. 
• These patients will be treated on a unit specifically designed to meet both diagnosis within the hospital. 
• It will be a separate and distinct unit – comprised of 12 beds.</t>
  </si>
  <si>
    <t>Individuals receiving both physical and behavioral health care at the established locations/Individuals with a treatment plan developed and implemented with primary care and behavioral health expertise</t>
  </si>
  <si>
    <t>Fort Bend County Clinical Health Services</t>
  </si>
  <si>
    <t>296760601.1.1</t>
  </si>
  <si>
    <t>296760601.3.1</t>
  </si>
  <si>
    <t>• IT 9.4.e Reduce Emergency Department visits for Behavioral Health/Substance Abuse</t>
  </si>
  <si>
    <t>• Develop a crisis system that better identifies people with behavioral health needs, responds to those needs and links persons with their most appropriate level of care. 
1) Assessment and enhancement of 911 dispatch system to identify and respond to behavioral health crises, 
2) development of specialized crisis intervention team within Fort Bend County Sheriff's Office and 
3) implementation of cross systems training and linkages to appropriate services and supports.</t>
  </si>
  <si>
    <t>Decrease in preventable admissions and readmissions into Criminal Justice System</t>
  </si>
  <si>
    <t>296760601.2.2</t>
  </si>
  <si>
    <t>296760601.3.5</t>
  </si>
  <si>
    <t>• IT 9.1 Decrease Mental health admissions and readmissions to criminal justice settings such as jails or prisons</t>
  </si>
  <si>
    <t>• Design, implement and evaluate a program that diverts youth with complex behavioral health needs such as serious mental illness or a combination of mental illness and intellectual development disabilities, substance abuse and physical health issue from initial or further involvement with juvenile.</t>
  </si>
  <si>
    <t>296760601.2.100</t>
  </si>
  <si>
    <t>296760601.3.100</t>
  </si>
  <si>
    <t>• IT 11.8 Initiation and Engagement of Alcohol and Other Drug Dependence Treatment</t>
  </si>
  <si>
    <t xml:space="preserve">• The proposed project will enhance the current health care delivery system by adding a Screening, Brief Intervention and Referral to Treatment model (SBIRT) in the AccessHealth FQHC clinic in Richmond, Texas.  
• This evidence-based model includes: Screening: Universal screening for quickly assessing use and severity of alcohol, illicit drugs, and prescription drug abuse.  </t>
  </si>
  <si>
    <t>Number of individuals receiving both physical and behavioral health care in project sites</t>
  </si>
  <si>
    <t>296760601.2.101</t>
  </si>
  <si>
    <t>296760601.3.103</t>
  </si>
  <si>
    <t>• Fort Bend County proposes to develop a continuum of care that is based on evidence based practices for target group (persons with severe mental illness and / or mental illness and physical health conditions) identified as high risk for recidivism due to homeless/ lack of stable housing, prior history of non compliance, lack of access to services, complex trauma, lack of family supports and /or lack of integrated care to address complex needs.</t>
  </si>
  <si>
    <t>Behavioral Health</t>
  </si>
  <si>
    <t>Sr. #</t>
  </si>
  <si>
    <t>020834001.1.2</t>
  </si>
  <si>
    <t>020834001.3.501
020834001.3.502
020834001.3.503</t>
  </si>
  <si>
    <t>Emergency Care</t>
  </si>
  <si>
    <t>• IT 9.10.a Median Time from ED Arrival to ED Departure for Discharged ED Patients
• IT 9.10.b Median time from admit decision time to time of departure from the ED for ED patients admitted to inpatient status
• IT 9.10.c Median time from ED arrival to time of departure from the emergency room for patients admitted to the facility from the ED</t>
  </si>
  <si>
    <t>093774008.1.2</t>
  </si>
  <si>
    <t>093774008.3.3</t>
  </si>
  <si>
    <t>• IT 6.2.b Visit-Specific Satisfaction Instrument (VSQ-9)</t>
  </si>
  <si>
    <t>111810101.1.5</t>
  </si>
  <si>
    <t>111810101.3.500
111810101.3.9</t>
  </si>
  <si>
    <t>• IT 6.1.d.i CG-CAHPS Visit Survey 2.0: Timeliness of Appointments, Care, &amp; Information
• IT 1.34 Appropriate Testing for Children With Pharyngitis</t>
  </si>
  <si>
    <t>OakBend Medical Center</t>
  </si>
  <si>
    <t>127303903.2.100</t>
  </si>
  <si>
    <t>127303903.3.101</t>
  </si>
  <si>
    <t xml:space="preserve">Health Education </t>
  </si>
  <si>
    <t>• IT 3.22 Risk Adjusted All-Cause Readmission</t>
  </si>
  <si>
    <t>133355104.2.3</t>
  </si>
  <si>
    <t>133355104.3.17
133355104.3.200
133355104.3.201</t>
  </si>
  <si>
    <t>ER Provider Triage</t>
  </si>
  <si>
    <t>• IT 9.8 Care Transition: Records with specified Elements received by discharged patients(Emergency Department discharged to ambulatory care[Home/Self Care] or Home Health Care) 
• IT 9.10.a Median Time from ED Arrival to ED Depature  for Discharged ED Patients 
• IT 9.6 Emergency Department(ED) visits where patients left without being seen</t>
  </si>
  <si>
    <t>137909111.2.3</t>
  </si>
  <si>
    <t>137909111.3.203
137909111.3.4
137909111.3.202</t>
  </si>
  <si>
    <t>Rice Medical Center</t>
  </si>
  <si>
    <t>212060201.1.4</t>
  </si>
  <si>
    <t>212060201.3.7</t>
  </si>
  <si>
    <t xml:space="preserve">• Implement a region-wide 24-hour nurse triage line that will assist patients considering an ER visit in determining what level of care they need to access &amp; connect them to an appropriate resource. 
• Goal is to ensure efficient use of the system’s ED &amp; reduce unnecessary visits. </t>
  </si>
  <si>
    <t>• Use telehealth to deliver specialty, psychosocial, and community‐based nursing services</t>
  </si>
  <si>
    <t xml:space="preserve">• Expand access to medical advice and guidance to the appropriate level of care in order to reduce emergency dept use for non-emergent conditions by implementing a nurse-line medical triage call center that will be staffed 24/7/365.  </t>
  </si>
  <si>
    <t xml:space="preserve">• OBMC will educate and train patients and staff on the health benefits of medication management, as well implement evidence-based strategies to enhance the quality of life and the appropriate management. 
• In furtherance of this goal, OBMC will partner with Fort Bend Family Health Center (FBFHC) and Oak Bend medical group physicians to educate their staff and the community on the importance of medication management, and to assist patients in managing their chronic conditions. </t>
  </si>
  <si>
    <t>• Improve emergency center throughput and reduce inappropriate use of emergency centers in the system through the implementation of a provider-in-triage model.</t>
  </si>
  <si>
    <t xml:space="preserve">• Research, design and implement if found to be effective a hospitalist model to increase productivity and access to care for patients involving both physicians and mid-level providers. 
• Currently, patients are admitted to their primary care physician or the primary care physician on call for the ER. </t>
  </si>
  <si>
    <t>• Enhance the urgent medical advice resources available to pt populations in Colorado County. Establish a new urgent care clinic. 
• This new clinic will be an outpatient clinic and will be physically located in Rice's hospital facility.</t>
  </si>
  <si>
    <t>1
1
1</t>
  </si>
  <si>
    <t>225
73
401</t>
  </si>
  <si>
    <t>Utilization of appropriate crisis alternatives of the number of individuals served</t>
  </si>
  <si>
    <t>Data absent in the Template</t>
  </si>
  <si>
    <t>Improved access to health care services for residents of communities that did not have such services locally before the program.</t>
  </si>
  <si>
    <t>10161
124.00</t>
  </si>
  <si>
    <t>5812
60</t>
  </si>
  <si>
    <t>0.571991
0.4839</t>
  </si>
  <si>
    <t>Increase calls over baseline of 20,390</t>
  </si>
  <si>
    <t>125475
1
187477.00</t>
  </si>
  <si>
    <t>122679
560
187474</t>
  </si>
  <si>
    <t>Number of all clinical cases that meet target/goal</t>
  </si>
  <si>
    <t>311
70.00
63.00</t>
  </si>
  <si>
    <t>63506
47.41
39.68</t>
  </si>
  <si>
    <t>Reduce wait times from the Emergency Department to Inpatient admissions by ten minutes for 600 admissions                              Reduce wait times from the Emergency Department to Inpatient admissions by twenty minutes for 600 admissions in DY5 for total patient impact of 1200 by end of DY5.</t>
  </si>
  <si>
    <t xml:space="preserve">1
</t>
  </si>
  <si>
    <t>Documentation of increased number of unique patients served by innovative program.</t>
  </si>
  <si>
    <t>Total Projects</t>
  </si>
  <si>
    <t>Total Providers</t>
  </si>
  <si>
    <t>GRAND TOTAL</t>
  </si>
  <si>
    <t>QPI Grouping Type</t>
  </si>
  <si>
    <t xml:space="preserve">              Outcome
Project Type</t>
  </si>
  <si>
    <t>Total</t>
  </si>
  <si>
    <t>020834001.2.1</t>
  </si>
  <si>
    <t>020834001.3.8</t>
  </si>
  <si>
    <t>Chronic Care</t>
  </si>
  <si>
    <t>093774008.2.1</t>
  </si>
  <si>
    <t>093774008.3.201
093774008.3.4</t>
  </si>
  <si>
    <t>• IT 4.19 Falls: Screening, Risk-Assessment, and Plan of Care to Prevent Future Falls
• IT 10.1.a.i Assessment of Quality of Life(AQoL-4D)</t>
  </si>
  <si>
    <t xml:space="preserve">City of Houston Department of Health and Human Services </t>
  </si>
  <si>
    <t>093774008.2.10</t>
  </si>
  <si>
    <t>093774008.3.16</t>
  </si>
  <si>
    <t xml:space="preserve">• IT 3.2 Congestive Heart Failure (CHF) 30-day Readmission Rate
</t>
  </si>
  <si>
    <t>093774008.2.4</t>
  </si>
  <si>
    <t>093774008.3.7</t>
  </si>
  <si>
    <t>Screening and Treatment</t>
  </si>
  <si>
    <t>• IT 15.17 Latent Tuberculosis Infection (LTBI) treatment rate</t>
  </si>
  <si>
    <t>093774008.2.5</t>
  </si>
  <si>
    <t>093774008.3.9</t>
  </si>
  <si>
    <t>• IT 1.10 Diabetes care: HbA1C poor control (&gt;9.0%)</t>
  </si>
  <si>
    <t>093774008.2.7</t>
  </si>
  <si>
    <t>093774008.3.11
093774008.3.502
093774008.3.503</t>
  </si>
  <si>
    <t>093774008.2.9</t>
  </si>
  <si>
    <t>Screening</t>
  </si>
  <si>
    <t>• IT 6.2.a Client Satisfaction Questionnaire 8 (CSQ-8)
• IT-12.16 High-risk Colorectal Cancer Follow-up rate within one year</t>
  </si>
  <si>
    <t>111810101.1.4</t>
  </si>
  <si>
    <t>111810101.3.8</t>
  </si>
  <si>
    <t>• IT 1.7 Controlling high blood pressure</t>
  </si>
  <si>
    <t>111810101.2.2</t>
  </si>
  <si>
    <t>111810101.3.18</t>
  </si>
  <si>
    <t>111810101.2.4</t>
  </si>
  <si>
    <t>111810101.3.20</t>
  </si>
  <si>
    <t>• IT 13.4 Hospice and Pallative Care- Proportion admitted to the ICU in the last 30 days of life</t>
  </si>
  <si>
    <t>111810101.2.5</t>
  </si>
  <si>
    <t>111810101.3.23
111810101.3.24
111810101.3.25</t>
  </si>
  <si>
    <t>• IT 1.2 Annual monitoring for patients on persistent medications- Angiotsein Converting Enzyme(ACE) inhibitors or Angiotesin Receptoer Blockers (ARBs) 
• IT 1.3 Annual monitoring for patients on persistent medications- Digoxin 
• IT 1.4 Annual monitoring for patients on persistent medications-Diuretic</t>
  </si>
  <si>
    <t>University of Texas M.D. Anderson Cancer Center</t>
  </si>
  <si>
    <t>112672402.2.1</t>
  </si>
  <si>
    <t>112672402.3.1</t>
  </si>
  <si>
    <t>• IT 12.16 High-risk Colorectal Cancer Follow-up rate within one year</t>
  </si>
  <si>
    <t>112672402.2.2</t>
  </si>
  <si>
    <t>112672402.3.4</t>
  </si>
  <si>
    <t>Tobacco Control</t>
  </si>
  <si>
    <t>• IT 1.25 Adult Tobacco Use</t>
  </si>
  <si>
    <t>112672402.2.3</t>
  </si>
  <si>
    <t>112672402.3.7</t>
  </si>
  <si>
    <t>• IT 1.24 Adolescent Tobacco Use</t>
  </si>
  <si>
    <t>112672402.2.4</t>
  </si>
  <si>
    <t>112672402.3.10</t>
  </si>
  <si>
    <t>• IT 12.13 Mammography follow-up rate</t>
  </si>
  <si>
    <t>112672402.2.5</t>
  </si>
  <si>
    <t>112672402.3.13</t>
  </si>
  <si>
    <t>St. Luke's Episcopal Hospital</t>
  </si>
  <si>
    <t>127300503.2.1</t>
  </si>
  <si>
    <t>127300503.2.2</t>
  </si>
  <si>
    <t>127300503.3.3</t>
  </si>
  <si>
    <t>• IT 15.18 Hepatitis C Cure Rate</t>
  </si>
  <si>
    <t>127303903.1.1</t>
  </si>
  <si>
    <t>127303903.3.1</t>
  </si>
  <si>
    <t>• IT 3.17 Risk Adjusted Chronic Obstructivve Pulmonary Disease(COPD) 30-day Readmission Rate</t>
  </si>
  <si>
    <t>127303903.2.3</t>
  </si>
  <si>
    <t>127303903.3.6</t>
  </si>
  <si>
    <t>• IT 8.19 Post-Partum Follow-Up and Care Coordination</t>
  </si>
  <si>
    <t>127303903.2.4</t>
  </si>
  <si>
    <t>127303903.3.7</t>
  </si>
  <si>
    <t>• IT 3.3 Risk Adjusted Congestiive Heart Failure(CHF) 30-day Readmission Rate</t>
  </si>
  <si>
    <t>Matagorda Regional Medical Center</t>
  </si>
  <si>
    <t>130959304.1.1</t>
  </si>
  <si>
    <t xml:space="preserve">• IT 2.21 Ambulatory Care Sensitive Conditions Admissions Rate
• IT 1.10 Diabetes care: HbA1c poor control (&gt;9.0%) </t>
  </si>
  <si>
    <t>133355104.1.11</t>
  </si>
  <si>
    <t>133355104.3.13</t>
  </si>
  <si>
    <t xml:space="preserve">Harris Health System </t>
  </si>
  <si>
    <t>133355104.2.5</t>
  </si>
  <si>
    <t>133355104.3.25</t>
  </si>
  <si>
    <t>133355104.2.7</t>
  </si>
  <si>
    <t>133355104.3.30</t>
  </si>
  <si>
    <t>137805107.2.2</t>
  </si>
  <si>
    <t>137805107.3.13</t>
  </si>
  <si>
    <t>•  IT 13.3 Hospice and Pallative Care- Proportion with more than one emergency room visit in the last days of life</t>
  </si>
  <si>
    <t>Harris County Public Health and Environmental Services</t>
  </si>
  <si>
    <t>158771901.2.101</t>
  </si>
  <si>
    <t>158771901.3.103
158771901.3.206</t>
  </si>
  <si>
    <t xml:space="preserve">•  IT 1.23 Tobacco Use: Screening &amp; Cessation 
•  IT 1.24 Adolescent tobacco use </t>
  </si>
  <si>
    <t>158771901.2.102</t>
  </si>
  <si>
    <t>158771901.3.104</t>
  </si>
  <si>
    <t>•  IT 15.17 Latent Tuberculosis Infection (LTBI) treatment rate</t>
  </si>
  <si>
    <t>212060201.2.1</t>
  </si>
  <si>
    <t>212060201.3.2
212060201.3.200
212060201.3.201</t>
  </si>
  <si>
    <t>• IT 12.6 Influenza Immunization--Ambulatory 
• IT 12.8 Immunization for Adolescents-Tdap/TD and MCV 
• IT 12.5 Pneumococcal Immunization - Inpatient</t>
  </si>
  <si>
    <t>212060201.2.2</t>
  </si>
  <si>
    <t>212060201.3.3</t>
  </si>
  <si>
    <t>• IT 1.11 Diabetes care: BP control (&lt;140/90mm Hg)</t>
  </si>
  <si>
    <t>212060201.2.3</t>
  </si>
  <si>
    <t>212060201.3.4</t>
  </si>
  <si>
    <t>296760601.2.4</t>
  </si>
  <si>
    <t>296760601.3.8</t>
  </si>
  <si>
    <t xml:space="preserve">• IT 12.16 High-risk Colorectal Cancer Follow-up rate within one year 
</t>
  </si>
  <si>
    <t>• Provide a 24/7 liaison to act as an adjunct to the Psych Response Team and provide case management of post-discharge behavioral health patients. 
• Case management will identify individuals whose chronic mental illness predicts they will likely have repeat visits to the ER and connect them with case management services for follow-up after discharge.</t>
  </si>
  <si>
    <t>Increase number of target population reached.</t>
  </si>
  <si>
    <t>• Utilize community health workers to provide 24 sessions of essential education and assessment related to fall prevention and safety to low income older adults</t>
  </si>
  <si>
    <t>115
107.00</t>
  </si>
  <si>
    <t>115
7909</t>
  </si>
  <si>
    <t>1
73.9159</t>
  </si>
  <si>
    <t>Number of individuals served</t>
  </si>
  <si>
    <t xml:space="preserve">• Implement one or more pilot intervention(s) in care transitions targeting one or more patient care units or a defined patient population.
</t>
  </si>
  <si>
    <t>Number over time of those patients in target population receiving standardized, evidence‐based interventions per approved clinical protocols and guidelines</t>
  </si>
  <si>
    <t>• Implement interventions to rapidly identify and treat TB to reduce TB morbidity and to shorten recovery time for TB pts by utilizing two testing modalities.</t>
  </si>
  <si>
    <t>• Establish self‐management programs and wellness using evidence‐based designs.</t>
  </si>
  <si>
    <t>Number of unique patients receiving evidence based intervention</t>
  </si>
  <si>
    <t>• Implement innovative evidence‐based strategies to reduce low birth weight and preterm birth.</t>
  </si>
  <si>
    <t>40
36.00
39.00</t>
  </si>
  <si>
    <t>5
32
39.00</t>
  </si>
  <si>
    <t>0.125
0.8889
1</t>
  </si>
  <si>
    <t>Number of women enrolled in Nurse Family Partnership based on milestone described above.</t>
  </si>
  <si>
    <t>• Implement a new colorectal cancer (CRC) integrated awareness and screening project involving: 
1) Awareness raising small media campaign, 
2) CRC Education about Screening Guidelines and Recommendations, 
3) Access to Community wide Non-invasive FIT testing, 
4) Test taking training, 
5) Testing by nationally accredited laboratory, 
6) Sharing of test results, communication and Follow up protocol as appropriate, and 
7) Patient Care Navigation for getting individuals situated in a medical home in the targeted zip codes</t>
  </si>
  <si>
    <t>31
Data absent in the template</t>
  </si>
  <si>
    <t>898
Data absent in the template</t>
  </si>
  <si>
    <t>28.96774
Data absent in the template</t>
  </si>
  <si>
    <t>The number of individuals of target population reached with innovative intervention consistent with evidence-based model (FIT screening).</t>
  </si>
  <si>
    <t>• Data entered into a unique chronic disease registry will be use to proactively contact, educate, and track pts by disease status, risk status, self management status, community and family need.  
• Reports drawn from the registry will be used to develop and implement targeted quality improvement plans for diabetes, hypertension, asthma, COPD, and
CHF.</t>
  </si>
  <si>
    <t>Number of unique individuals managed in the registry.</t>
  </si>
  <si>
    <t>• The outpatient delivery system of UT Physicians will be redesigned to coordinate care for patients with chronic diseases (asthma, CHF, COPD, diabetes and hypertension), based on Wagner's chronic care model.</t>
  </si>
  <si>
    <t>Additional patients receiving care under the Chronic Care Model.</t>
  </si>
  <si>
    <t>• Patients admitted to any adult ICU at Memorial Herman Hospital-TMC who are at high risk of death in or soon after hospitalization will receive a palliative care consultation to supplement their clinical therapy and assist in determination of goals of care which may include transitioning the patients from acute hospital care into home care, hospice or a skilled nursing facility.</t>
  </si>
  <si>
    <t xml:space="preserve">Palliative care consults meet targets established by the program.  </t>
  </si>
  <si>
    <t>• Implement a technologically driven patient-centered medication therapy management program.  
• Allscripts analytics tool will enable staff to identify pts at high risk for developing complications and co-morbidities, and pts that have not refilled their medications</t>
  </si>
  <si>
    <t>4507
69.00
2521.00</t>
  </si>
  <si>
    <t>3429
55.00
1938</t>
  </si>
  <si>
    <t>• Expand a 2-year Colorectal Cancer (CRC) screening program in Federally Qualified Health Centers in Harris County into other RHP3 counties.  
• This project targets low-income and underinsured populations with the intent of increasing adherence by distributing Fecal Immunochemical Test (FIT) take-home tests at the time of annual flu inoculation.</t>
  </si>
  <si>
    <t>Number of adults in clinic client population aged 50 to 75 who receive one of the following screenings: Fecal occult blood test yearly, Flexible sigmoidoscopy every five years, Colonoscopy every 10 years</t>
  </si>
  <si>
    <t>• Implement an evidence-based smoking cessation program for persons living with HIV/AIDS at the Legacy Community Health Services sites.</t>
  </si>
  <si>
    <t>Document implementation strategy and testing outcomes</t>
  </si>
  <si>
    <t xml:space="preserve">• A Smoking Prevention Interactive Experience (ASPIRE) will be utilized to reach underserved, at-risk youth at various access points in RHP3 counties.
</t>
  </si>
  <si>
    <t>Document the number of individuals screened</t>
  </si>
  <si>
    <t>• Expand Project VALET (Providing Valuable Area Life-Saving Exams in Town), a breast cancer screening mammography service for uninsured, low-income, and Medicaid-eligible women ages 40 to 69 in Houston, to the RHP 3 coverage area.</t>
  </si>
  <si>
    <t>Number of  service encounters  provided to women ages 40 to 69 during the reporting period</t>
  </si>
  <si>
    <t>• Ask Advise Connect (AAC) will be delivered to 4 FQHCs in Harris County by implementing clinical practice guidelines and promoting health system supports in electronic health records. 
• Based on questions of adult patients regarding smoking, connections to the Quitline are made by clicking an automated link in the electronic health record (EHR) that sends smokers’ names and phone numbers to the Quitline within 24 hours. 
• Patients are contacted by the Quitline within 48 hours of receipt of their contact information.</t>
  </si>
  <si>
    <t>Determine smoking prevalence for 50% of adult patients</t>
  </si>
  <si>
    <t>• Build a bridge from the acute inpatient setting to a stable primary care-based medical home for patients with congestive heart failure.</t>
  </si>
  <si>
    <t>Number over time of those patients in target population receiving standardized, evidence‐based interventions</t>
  </si>
  <si>
    <t>• Provide screening and treatment for a defined population of pts at risk for and/ or diagnosed with Hepatitis C.</t>
  </si>
  <si>
    <t>Documentation of increased number of unique patients served by the innovative program</t>
  </si>
  <si>
    <t>• Develop a chronic disease registry to use county wide to ensure providers and clinical staff with access to determine clinical outcomes and to identify physician, psychological and emotional needs of the chronically ill patients.</t>
  </si>
  <si>
    <t>Improvement in enrollment in the registry over baseline as measured by number of patients entered in the registry with targeted chronic diseases</t>
  </si>
  <si>
    <t>• Educate and train patients and staff on the health benefits of breastfeeding, as well as evidence-based strategies to enhance breastfeeding.</t>
  </si>
  <si>
    <t>Increase number of target population reached</t>
  </si>
  <si>
    <t>• Finalize partnerships with local community agencies to work on projects specifically dedicated to health and wellness promotion such as Fort Bend Family Health Center (FBFHC), United Way, Weight Watchers, OBMC (OakBend Medical Group) and other agencies.
• We will form a task force of community members from each of the different agencies to do a needs assessment to determine targeted areas where a wellness management program in English and Spanish would be beneficial.</t>
  </si>
  <si>
    <t xml:space="preserve">• Establish the CDSC (Chronic Disease Specialty Clinic) to provide access to specialty services and physicians that support care for a number of key chronic conditions. </t>
  </si>
  <si>
    <t xml:space="preserve">Documentation of increase number of visits. </t>
  </si>
  <si>
    <t>• Implement and Enhance Chronic Disease Management Registry 
• Develop a chronic disease management registry to use system-wide to ensure providers and clinical staff has access to determine patient status and identify physical, psychosocial and emotional needs of the chronically ill patient.</t>
  </si>
  <si>
    <t>Documentation of number of patients enrolled in the registry</t>
  </si>
  <si>
    <t>• Expand point-of-care services provided by clinic pharmacists for the chronic management of pts receiving anticoagulation therapy and create an educational website.</t>
  </si>
  <si>
    <t xml:space="preserve">Documentation of increased number of unique patients served by innovative program. </t>
  </si>
  <si>
    <t>• Implement a palliative care program  to address end-of-life decisions and care needs</t>
  </si>
  <si>
    <t>Improved access to PC Services for residents that did not have access</t>
  </si>
  <si>
    <t>• Implement a comprehensive palliative care program that will engage pts with life threatening, acute or chronic conditions. 
• The program will also educate health care professional so they can better advise their pts who need end-of-life care outside an acute care setting.</t>
  </si>
  <si>
    <t>Palliative care discharges to home care, hospice, or SNF</t>
  </si>
  <si>
    <t>• Harris County Public Health and Environmental Services (HCPHES) proposes to expand its operations and leverage mobile clinic units alongside existing fixed clinics to meet the health needs of low income, indigent and special needs populations, that lack the resources and/or physical mobility to commute to fixed site locations to receive the vital and preventative services necessary to reduce tobacco use. 
• This expansion will allow for increased accessibility to services, health education programs, and the dissemination of critical health education information to the target communities.</t>
  </si>
  <si>
    <t>1657
200</t>
  </si>
  <si>
    <t>338
4.00</t>
  </si>
  <si>
    <t>Number of individuals of target population reached by the innovative project.</t>
  </si>
  <si>
    <t>• The project will also offer a shortened therapy regimen to qualified patients being treated for latent TB infection (LTBI) by changing the course of medication prescribed.  
• This project will thereby increase the number of patients who are adequately treated for active TB disease and TB infection and ultimately decrease potentially preventable hospitalizations for tuberculosis as well as costs for treating drug-resistant TB.</t>
  </si>
  <si>
    <t>• Implement across-the-board tracking of patients' immunization schedules and completed immunizations in order to avoid duplication and tardiness.</t>
  </si>
  <si>
    <t>4114
72.00
82</t>
  </si>
  <si>
    <t>637
56.00
62</t>
  </si>
  <si>
    <t>Number of individuals served by the project</t>
  </si>
  <si>
    <t>• Partner with the Colorado County Health Dept. and other local stakeholders to provide an organized, systematic approach to chronic disease outreach, reduction and management using the Care Management Model</t>
  </si>
  <si>
    <t>Additional patients receive care under the Chronic Care Model for a chronic disease or for MCC</t>
  </si>
  <si>
    <t>• Develop a Certified Diabetes Teaching Center to educate and assist pts with managing their chronic disease.</t>
  </si>
  <si>
    <t>• In cooperation with local health care providers, provide colonoscopy screening to uninsured and underinsured populations who meet the criteria for this procedure.</t>
  </si>
  <si>
    <t xml:space="preserve">Total Projects </t>
  </si>
  <si>
    <t xml:space="preserve">Total Providers </t>
  </si>
  <si>
    <t>Total Individuals Served during DY3-5</t>
  </si>
  <si>
    <t>Total Encounters Provided during DY3-5</t>
  </si>
  <si>
    <t>QPI Target DY3</t>
  </si>
  <si>
    <t>QPI Target DY4</t>
  </si>
  <si>
    <t>QPI Target DY5</t>
  </si>
  <si>
    <t>Cumulative Total</t>
  </si>
  <si>
    <t>Number of Projects by Project Type and Outcome</t>
  </si>
  <si>
    <t>TOTAL</t>
  </si>
  <si>
    <t>020817501.1.1</t>
  </si>
  <si>
    <t>020817501.3.1</t>
  </si>
  <si>
    <t>Primary Care</t>
  </si>
  <si>
    <t>Expand Primary Care</t>
  </si>
  <si>
    <t xml:space="preserve">• IT 8.19 Post-Partum Follow-UP and Care Coordination
</t>
  </si>
  <si>
    <t>020834001.1.1</t>
  </si>
  <si>
    <t>020834001.3.1</t>
  </si>
  <si>
    <t xml:space="preserve">• IT 7.2 Cavities: Children
</t>
  </si>
  <si>
    <t>020834001.1.4</t>
  </si>
  <si>
    <t>020834001.3.4</t>
  </si>
  <si>
    <t xml:space="preserve">• IT 1.7 Controlling high blood pressure
</t>
  </si>
  <si>
    <t>Baylor College of Medicine</t>
  </si>
  <si>
    <t>082006001.1.1</t>
  </si>
  <si>
    <t xml:space="preserve">082006001.3.2
082006001.3.1
082006001.3.6
</t>
  </si>
  <si>
    <t xml:space="preserve">• IT 8.9 Youth Pregnancy Rate 
• IT 11.15 Depression Screening by 18 years of age 
• IT 12.11 HPV Vaccine for Adolescents 
</t>
  </si>
  <si>
    <t>• P4R
• P4R
• P4P</t>
  </si>
  <si>
    <t>093774008.1.1</t>
  </si>
  <si>
    <t>093774008.1.3</t>
  </si>
  <si>
    <t>093774008.3.15</t>
  </si>
  <si>
    <t xml:space="preserve">• IT 7.10 Cavities: Adult
</t>
  </si>
  <si>
    <t xml:space="preserve">• P4P
</t>
  </si>
  <si>
    <t>111810101.1.1</t>
  </si>
  <si>
    <t>111810101.3.1
111810101.3.2
111810101.3.3</t>
  </si>
  <si>
    <t xml:space="preserve">• IT 12.2 Cervical Cancer Screening 
• IT 12.1 Breast Cancer Screening 
• IT 12.3 Colorectal Cancer Screening 
 </t>
  </si>
  <si>
    <t>111810101.1.101</t>
  </si>
  <si>
    <t>111810101.3.101
111810101.3.102
111810101.3.103</t>
  </si>
  <si>
    <t>111810101.1.2</t>
  </si>
  <si>
    <t>111810101.3.4
111810101.3.5
111810101.3.6</t>
  </si>
  <si>
    <t xml:space="preserve">• IT 14.6 Percent of trainees who have spent at least 5 years living in a health-professional shortage area(HPSA) or medically underserved area 
• IT 14.7 Percent of trainees who report that they plan to practice in HPSAs or MUAs based on a systematic survey 
• IT 14.8 Percent of trainees who report that they plan to serve Medicaid populations based on a systematic survey
 </t>
  </si>
  <si>
    <t>111810101.1.3</t>
  </si>
  <si>
    <t>111810101.3.7
111810101.3.200
111810101.3.201</t>
  </si>
  <si>
    <t xml:space="preserve">• IT 12.4 Pneumonia vaccination status for older adults 
• IT 12.6 Influenza Immunization--Ambulatory 
• IT 12.9 Childhood immunization status 
 </t>
  </si>
  <si>
    <t>111810101.1.6</t>
  </si>
  <si>
    <t>111810101.3.10
111810101.3.11
111810101.3.12</t>
  </si>
  <si>
    <t xml:space="preserve">• IT 12.2 Cervical Cancer Screening 
• IT 12.1 Breast Cancer Screening 
• IT 12.3 Colorectal Cancer Screening
</t>
  </si>
  <si>
    <t>111810101.1.9</t>
  </si>
  <si>
    <t>111810101.3.29
111810101.3.30
111810101.3.31</t>
  </si>
  <si>
    <t xml:space="preserve">• IT 12.1 Breast Cancer Screening
• IT 12.2 Cervical Cancer Screening 
• IT 12.3 Colorectal Cancer Screening
</t>
  </si>
  <si>
    <t>111810101.2.100</t>
  </si>
  <si>
    <t>111810101.3.104</t>
  </si>
  <si>
    <t>127303903.1.2</t>
  </si>
  <si>
    <t>127303903.3.2</t>
  </si>
  <si>
    <t>• IT 3.13 Risk Adjusted Stroke (CVA) 30-day Readmission Rate</t>
  </si>
  <si>
    <t xml:space="preserve">Matagorda Regional Medical Center </t>
  </si>
  <si>
    <t>130959304.1.3</t>
  </si>
  <si>
    <t>Tomball Regional Hospital</t>
  </si>
  <si>
    <t>131044305.1.1</t>
  </si>
  <si>
    <t>131044305.3.1
131044305.3.3
131044305.3.4</t>
  </si>
  <si>
    <t>• IT 2.22 Prevention Quality Indicators (PQI) Composite Measure Potentially Preventable Hospitalizations for Ambulatory Care Sensitive Conditions 
• IT 3.1 Hospital-Wide All-Cause Unplanned Readmission Rate 
• IT 9.2a Reduce Emergency Department (ED) visits for Ambulatory Care Sensitive Conditions (ACSC) per 100,000</t>
  </si>
  <si>
    <t>133355104.1.1</t>
  </si>
  <si>
    <t>133355104.3.1
133355104.3.33
133355104.3.34</t>
  </si>
  <si>
    <t xml:space="preserve">• IT 1.13 Diabetes care:  Foot exam 
• IT 12.4 Pneumonia vaccination status for older adults 
• IT 12.6 Influenza Immunization--Ambulatory
</t>
  </si>
  <si>
    <t>133355104.1.14</t>
  </si>
  <si>
    <t>133355104.3.19
133355104.3.39
133355104.3.40</t>
  </si>
  <si>
    <t>133355104.1.15</t>
  </si>
  <si>
    <t>133355104.3.20</t>
  </si>
  <si>
    <t xml:space="preserve">• IT 7.8 Chronic Disease Patients Accessing Dental Services
</t>
  </si>
  <si>
    <t>133355104.1.2</t>
  </si>
  <si>
    <t>133355104.3.2
133355104.3.35
133355104.3.36</t>
  </si>
  <si>
    <t>133355104.1.3</t>
  </si>
  <si>
    <t>133355104.3.3</t>
  </si>
  <si>
    <t>133355104.1.4</t>
  </si>
  <si>
    <t>133355104.3.4</t>
  </si>
  <si>
    <t xml:space="preserve">• IT 1.10 Diabetes care: HbA1C poor control (&gt;9.0%)
</t>
  </si>
  <si>
    <t>133355104.1.5</t>
  </si>
  <si>
    <t>133355104.3.5</t>
  </si>
  <si>
    <t>133355104.1.6</t>
  </si>
  <si>
    <t>133355104.3.6
133355104.3.37
133355104.3.38</t>
  </si>
  <si>
    <t>133355104.1.8</t>
  </si>
  <si>
    <t>133355104.3.10</t>
  </si>
  <si>
    <t>133355104.2.8</t>
  </si>
  <si>
    <t>133355104.3.8</t>
  </si>
  <si>
    <t xml:space="preserve">• IT 3.3 Risk Adjusted Congestiive Heart Failure(CHF) 30-day Readmission Rate
</t>
  </si>
  <si>
    <t>137805107.1.1</t>
  </si>
  <si>
    <t>137805107.3.1</t>
  </si>
  <si>
    <t>137909111.1.1</t>
  </si>
  <si>
    <t>137909111.3.1
137909111.3.5</t>
  </si>
  <si>
    <t xml:space="preserve">• IT 6.1.b.i CG-CAHPS 12-month: Timeliness of Appointments, Care, &amp; Information 
• IT 9.5 Reduce low acuity ED visits
</t>
  </si>
  <si>
    <t>139135109.2.1</t>
  </si>
  <si>
    <t>139135109.3.43</t>
  </si>
  <si>
    <t>212060201.1.1</t>
  </si>
  <si>
    <t>212060201.3.1</t>
  </si>
  <si>
    <t>212060201.1.2</t>
  </si>
  <si>
    <t>212060201.3.5</t>
  </si>
  <si>
    <t>• IT 9.10 ED throughput Measure bundle</t>
  </si>
  <si>
    <t>212060201.1.3</t>
  </si>
  <si>
    <t>212060201.3.500
212060201.3.501
212060201.3.6</t>
  </si>
  <si>
    <t xml:space="preserve">• IT 1.27 Pain Assessment and Follow-up 
• IT 1.28 Preventive Care and Screening: Screening for High Blood Pressure and Follow-Up Documented
•  IT 1.21 Adult Body Mass Index (BMI) Assessment </t>
  </si>
  <si>
    <t>212060201.1.6</t>
  </si>
  <si>
    <t>212060201.3.9</t>
  </si>
  <si>
    <t>296760601.1.2</t>
  </si>
  <si>
    <t xml:space="preserve">• IT 1.1 Third next available appointment 
• IT 9.2 Reduce Emergency Department(ED) VISITS FOR Ambulatory Care Sensitve Conditions(ASC) per 100,000 
</t>
  </si>
  <si>
    <t xml:space="preserve">• P4P
• P4P
</t>
  </si>
  <si>
    <t xml:space="preserve">Fort Bend County Clinical Health Services </t>
  </si>
  <si>
    <t>296760601.2.3</t>
  </si>
  <si>
    <t>296760601.3.6</t>
  </si>
  <si>
    <t xml:space="preserve">• IT 9.2 Reduce ED visits for ACSC per 100,000
</t>
  </si>
  <si>
    <t xml:space="preserve">• Expand OB/GYN care capacity in HCA's OB clinics in East Houston by: 
1) recruiting 2 new OB/GYNs; 
2) hiring additional support staff; 
3) expanding service hours  in existing clinics; and 
4) relocating a clinic to a larger space that is closer to a Federally Qualified Health Center and public transportation. </t>
  </si>
  <si>
    <t xml:space="preserve">• Increase number of school-based primary care sites in low income communities for people with limited access. 
• Expand Memorial Hermann Health Centers for Schools program by 3 health centers &amp; 1 mobile dental van. </t>
  </si>
  <si>
    <t>Documentation of increased number of visits</t>
  </si>
  <si>
    <t xml:space="preserve">• Create neighborhood centers that integrate all ambulatory services in a highly coordinated, efficient and accessible manner for the greater Houston MSA. 
• Target population is patients in the greater Houston MSA that would benefit from seeking ambulatory care at ambulatory facility rather than acute care facility. </t>
  </si>
  <si>
    <t xml:space="preserve">• Expand Baylor Teen Health Clinic service area by opening a new clinic at the Tejano Center for Community Concerns, which provides transitional housing services for the Houston community. </t>
  </si>
  <si>
    <t>93
39
261</t>
  </si>
  <si>
    <t>7
24
142</t>
  </si>
  <si>
    <t>• Improve dental health in Medicaid/CHIP or indigent populations by 
1) expanding oral health services for children 6 mos to age 18 in HSHHD dental clinics, 
2) expanding an evidence-base dental sealant program for elementary school children in clinics, 
3) initiating new oral health services for eligible perinatal women.</t>
  </si>
  <si>
    <t>Collect data to determine the number of children and pregnant women, accessing dental services that have seen by a dental provider within the past 12months.</t>
  </si>
  <si>
    <t>• Improve oral health by providing diagnostic, preventive restorative and surgical oral health services for the elderly to improve the heath and quality of life for Houston area at-risk seniors.</t>
  </si>
  <si>
    <t>Establish baseline and increase  number of children, special needs patients, pregnant women, and/or the elderly accessing dental services</t>
  </si>
  <si>
    <t>• Expand primary care specialty at each of its 4 outlying clinics. 
• Space will be purchased for additional consulting, exam and procedure rooms. 
• Additional providers and support staff will be added to provide primary care services, and the hours of service will be extended, including evenings and Saturdays.</t>
  </si>
  <si>
    <t>3361
1842
2980</t>
  </si>
  <si>
    <t>340
89
104</t>
  </si>
  <si>
    <t xml:space="preserve">• This project seeks to establish a prevention and wellness community health center (CHWC) in a low income areas in our region along with the provision of wellness services provided by ACPs. 
• This center will operate using expanded hours that include evening and weekend hours.  
• The center will be well integrated with existing resources in the community.  
• Community leaders and stakeholders will be included in identifying gaps and priority services needed, as well as in the planning and implementation of support services </t>
  </si>
  <si>
    <t>124
1162
45</t>
  </si>
  <si>
    <t>54
266
1</t>
  </si>
  <si>
    <t>Number of encounters provided in community based behavioral healthcare settings after access expansion</t>
  </si>
  <si>
    <t xml:space="preserve">• Train residents in the "new primary care" model that is capable of staffing enhanced medical homes.  </t>
  </si>
  <si>
    <t>35
35.00
35</t>
  </si>
  <si>
    <t>14
18
15</t>
  </si>
  <si>
    <t>0.4
0.5143
0.4286</t>
  </si>
  <si>
    <t>Number of primary care visits conducted by residents trained in the new primary care curriculum</t>
  </si>
  <si>
    <t>• Partner with Gateway to Care, Harris Health System, and UT Physicians to increase the number of certified CHWs in the region (currently approx 500) and respond to specific continuing education needs. 
• In addition, providers and clinic staff will be trained on how to integrate CHWs as members of the health care team.</t>
  </si>
  <si>
    <t>4786
20649
49</t>
  </si>
  <si>
    <t>1036
2649
2</t>
  </si>
  <si>
    <t>Number of patient encounters by community health worker trainees.</t>
  </si>
  <si>
    <t>• Establish a new primary care clinic in the Northwest area of Houston. 
• Space will be acquired for additional consulting, exam and procedure rooms. 
• Additional providers and support staff will be added to provide primary care services, and the hours of service will be extended, including evenings and Saturdays</t>
  </si>
  <si>
    <t>923
247
386</t>
  </si>
  <si>
    <t>429
22
50</t>
  </si>
  <si>
    <t>• Establish the North Harris County Primary Care Clinic. Space will be leased to open the clinic.</t>
  </si>
  <si>
    <t>247
923
386</t>
  </si>
  <si>
    <t>22
429
50</t>
  </si>
  <si>
    <t>• UTP will implement three evidence-based interventions that will ensure that women receive quality preconception, prenatal, intrapartum, postpartum, and interconception care to manage risk factors that lead to adverse pregnancy outcomes. 
• These interventions include: 
1) the CHOICES Plus program for women at-risk of alcohol- and/or tobacco-exposed pregnancies and women who are obese, 
2) home visits during pregnancy and postpartum period using evidence-based and piloted home visitation program, and 
3) nutrition and physical activity promotion programs – A Legacy of Health (Un Legado de Salud) and The Happy Kitchen (La Cocina Alegre®).</t>
  </si>
  <si>
    <t>• Increase number of PCPs .</t>
  </si>
  <si>
    <t>Number of encounters provided by additional staff</t>
  </si>
  <si>
    <t>• Provide an alternative to care at the right time and right setting primary and urgent care services will be expanded to evenings and weekends. 
• A nurse advice line manned with RN professionals trained in pediatric as well as adult triage will promote the use of the expanded primary and urgent care services.</t>
  </si>
  <si>
    <t>Percent patients receiving urgent care appointment in the primary care clinic (instead of having to go to the ED or an urgent care clinic) within 2
calendar days of request. Demonstrate improvement over baseline rates</t>
  </si>
  <si>
    <t>• Expand access to primary care for the uninsured by the hospital providing nurse practitioner and office resources to the local indigent care clinic.</t>
  </si>
  <si>
    <t>Documentation of increased number of primary care visits</t>
  </si>
  <si>
    <t>• Expand the capacity of primary care by establishing an adult-focused primary care same day access clinic near the Gulfgate Health Center that offers same day visits during extended hours.</t>
  </si>
  <si>
    <t>445
902
2709</t>
  </si>
  <si>
    <t>333
819
899</t>
  </si>
  <si>
    <t>0.748315
0.9080
0.3319</t>
  </si>
  <si>
    <t>• Expand the capacity of primary care by establishing an adult-focused primary care near the current Casa de Amigos Health Center that offers same day visits during extended hours.</t>
  </si>
  <si>
    <t>119
902
2709</t>
  </si>
  <si>
    <t>75
819
899</t>
  </si>
  <si>
    <t>• Expand adult dental services by establishing additional sites and expanding services at current sites. Services will be added or expanded at 6 health centers.</t>
  </si>
  <si>
    <t>Increase the number of adults (unique individuals) accessing dental services through expansion</t>
  </si>
  <si>
    <t>• Expand the capacity of primary care by establishing an adult-focused primary care same day access clinic near the People's Health Center that offers same day visits during extended hours to meet demand.</t>
  </si>
  <si>
    <t>288
902
2709</t>
  </si>
  <si>
    <t>206
819
899</t>
  </si>
  <si>
    <t>0.715278
0.9080
0.3319</t>
  </si>
  <si>
    <t>• Expand the existing capacity of primary care by adding FTE primary care providers to meet the adult primary care demand surround the Health Centers.</t>
  </si>
  <si>
    <t>• Expand the capacity of primary care by adding the West and Northwest 1 Area Health Centers to the complement of existing health centers to establish Medical Homes primarily for the adult population.</t>
  </si>
  <si>
    <t>• Expand the capacity of primary care by adding the Northwest 2 Area Health Center to the complement of existing health centers to establish Medical Homes primarily for the adult population.</t>
  </si>
  <si>
    <t>• Expand the capacity of primary care by establishing adult-focused primary care clinics that offer same day visits during extended hours to meet demand.</t>
  </si>
  <si>
    <t>1863
902
2709.00</t>
  </si>
  <si>
    <t>946
819
899</t>
  </si>
  <si>
    <t>• Develop a seamless referral process by which Harris Health can refer primary care patients to FQHCs.</t>
  </si>
  <si>
    <t>Documentation of scheduled visits by additional primary care provider community partners</t>
  </si>
  <si>
    <t>• Expand the House Calls Program in order to improve access, maximize independence, and realize cost savings by providing comprehensive, coordinated, multidisciplinary primary care at home to a population of patients with multiple chronic conditions who are homebound or have extreme difficulties getting to clinic visits due to their health status.</t>
  </si>
  <si>
    <t>Increase number of patients seen through House Calls program</t>
  </si>
  <si>
    <t>• Expand the capacity of primary care through more clinics and available health care professionals to better accommodate the regional patient population and community. 
• Memorial will aim to recruit 60+ primary care providers and 18 new primary care locations are planned.</t>
  </si>
  <si>
    <t>• Expand primary and specialty care services through a hospital-based clinic to a medically underserved area of rural Texas.</t>
  </si>
  <si>
    <t>52
4849.00</t>
  </si>
  <si>
    <t xml:space="preserve">• Target adolescents/young adults with significant chronic childhood conditions, define interventions in care transitions from pediatric providers to a medical home with services provided by adult providers, and expand chronic care management model to capture more of the Medicaid population. </t>
  </si>
  <si>
    <t>Increase the number of patients enrolled in a care management program over baseline.</t>
  </si>
  <si>
    <t>• Expand the availability of family practice obstetric services in the East Bernard Rural Health Clinic and Rice Medical Center service areas by hiring a family practice obstetrician to work in the clinic.</t>
  </si>
  <si>
    <t>• Develop the use of telemedicine in Colorado County facilities and in schools to increase and improve access to specialty care services for community stakeholders.</t>
  </si>
  <si>
    <t>• Establish a primary care clinic in Wallis, TX. This clinic will be operated by a mid-level provider supervised by a physician.</t>
  </si>
  <si>
    <t>282
282
240</t>
  </si>
  <si>
    <t>246
229
199</t>
  </si>
  <si>
    <t>Number of additional clinics or expanded hours or space</t>
  </si>
  <si>
    <r>
      <rPr>
        <b/>
        <sz val="12"/>
        <color theme="1"/>
        <rFont val="Tahoma"/>
        <family val="2"/>
      </rPr>
      <t xml:space="preserve">• </t>
    </r>
    <r>
      <rPr>
        <sz val="12"/>
        <color theme="1"/>
        <rFont val="Tahoma"/>
        <family val="2"/>
      </rPr>
      <t>Relocate and improve the existing Rural Health Clinic in East Bernard in order to expand access to primary care services in this community. 
• The new clinic will have updated equipment.</t>
    </r>
  </si>
  <si>
    <t>• Expand the hours of operation of the local Federally Qualified Health Center to increase access to primary care for the Medicaid, uninsured and underinsured population in the county.</t>
  </si>
  <si>
    <t>5
14141</t>
  </si>
  <si>
    <t>15.54545
3366</t>
  </si>
  <si>
    <t>3.10909
0.2380</t>
  </si>
  <si>
    <t xml:space="preserve">Increase the number of visits made and demonstrate increased access to care for the target population </t>
  </si>
  <si>
    <t>• Provide primary care to individuals who call 9-1-1 for non-emergent conditions.</t>
  </si>
  <si>
    <t>Increase in the number of targeted patients served by the program in the program</t>
  </si>
  <si>
    <t xml:space="preserve">                Outcome 
Project Type</t>
  </si>
  <si>
    <t>Number of Projects by Outcome and Project Type</t>
  </si>
  <si>
    <t xml:space="preserve">Crisis Stabilization </t>
  </si>
  <si>
    <t xml:space="preserve">
 QPI Target DY3</t>
  </si>
  <si>
    <t xml:space="preserve">
 QPI Target DY4</t>
  </si>
  <si>
    <t xml:space="preserve">
 QPI Target DY5</t>
  </si>
  <si>
    <t>111810101.1.10</t>
  </si>
  <si>
    <t>111810101.3.32</t>
  </si>
  <si>
    <t>Specialty Care</t>
  </si>
  <si>
    <t>Expand specialty care</t>
  </si>
  <si>
    <t>• IT 1.6 Cholesterol management for patients with cardiovascular conditions</t>
  </si>
  <si>
    <t>111810101.1.7</t>
  </si>
  <si>
    <t>111810101.3.13</t>
  </si>
  <si>
    <t>111810101.2.1</t>
  </si>
  <si>
    <t>111810101.3.17</t>
  </si>
  <si>
    <t xml:space="preserve">• IT 1.10 Diabetes care: HbA1C poor control (&gt;9.0%) </t>
  </si>
  <si>
    <t>127303903.1.3</t>
  </si>
  <si>
    <t>127303903.3.3</t>
  </si>
  <si>
    <t>• IT 3.9 Risk Adjusted Acute Myocardial Infarction (AMI) 30-day Readmission Rate</t>
  </si>
  <si>
    <t>133355104.1.13</t>
  </si>
  <si>
    <t>133355104.3.18</t>
  </si>
  <si>
    <t>• IT 10.1.B.iii RAND Short Form 12[1] (SF-12v2) Health Survey</t>
  </si>
  <si>
    <t>133355104.2.9</t>
  </si>
  <si>
    <t>133355104.3.7
133355104.3.9</t>
  </si>
  <si>
    <t xml:space="preserve">• IT 1.1  Third next available appointment 
• IT 1.10 Diabetes care: HbA1C poor control (&gt;9.0%) </t>
  </si>
  <si>
    <t>Columbus Community Hospital</t>
  </si>
  <si>
    <t>135033204.1.1</t>
  </si>
  <si>
    <t>135033204.3.1</t>
  </si>
  <si>
    <t>139135109.1.1</t>
  </si>
  <si>
    <t>139135109.3.2
139135109.3.44</t>
  </si>
  <si>
    <t>• IT 10.1.a.v Pediatric Quality of Life Inventory (PedsQL)
• IT 1.1 Third next available appointment</t>
  </si>
  <si>
    <t>139135109.1.10</t>
  </si>
  <si>
    <t>139135109.3.200
139135109.3.26</t>
  </si>
  <si>
    <t xml:space="preserve">• IT 1.1 Third next available appointment
• IT 10.1.a.v Pediatric Quality of Life Inventory (PedsQL)
</t>
  </si>
  <si>
    <t>139135109.1.11</t>
  </si>
  <si>
    <t>139135109.3.28
139135109.3.52</t>
  </si>
  <si>
    <t>139135109.1.12</t>
  </si>
  <si>
    <t>139135109.3.30</t>
  </si>
  <si>
    <t>• IT 10.1.a.v Pediatric Quality of Life Inventory (PedsQL)</t>
  </si>
  <si>
    <t>139135109.1.13</t>
  </si>
  <si>
    <t>139135109.3.33</t>
  </si>
  <si>
    <t>139135109.1.14</t>
  </si>
  <si>
    <t>139135109.3.36</t>
  </si>
  <si>
    <t>139135109.1.15</t>
  </si>
  <si>
    <t>139135109.3.39</t>
  </si>
  <si>
    <t>139135109.1.2</t>
  </si>
  <si>
    <t>139135109.3.5</t>
  </si>
  <si>
    <t xml:space="preserve">• IT 2.25 Pain Admission Rate   </t>
  </si>
  <si>
    <t>139135109.1.3</t>
  </si>
  <si>
    <t xml:space="preserve">139135109.3.46
139135109.3.8
</t>
  </si>
  <si>
    <t>139135109.1.4</t>
  </si>
  <si>
    <t>139135109.3.11</t>
  </si>
  <si>
    <t>139135109.1.5</t>
  </si>
  <si>
    <t>139135109.3.13</t>
  </si>
  <si>
    <t>• IT 1.22 Asthma Percent of Opportunity Achieved</t>
  </si>
  <si>
    <t>139135109.1.6</t>
  </si>
  <si>
    <t>139135109.3.17</t>
  </si>
  <si>
    <t>139135109.1.7</t>
  </si>
  <si>
    <t>139135109.3.20</t>
  </si>
  <si>
    <t>139135109.1.8</t>
  </si>
  <si>
    <t>139135109.3.22</t>
  </si>
  <si>
    <t xml:space="preserve">• IT 1.10 Diabetes care: HbA1c poor control (&gt;9.0%) </t>
  </si>
  <si>
    <t>139135109.1.9</t>
  </si>
  <si>
    <t>139135109.3.25</t>
  </si>
  <si>
    <t>212060201.1.5</t>
  </si>
  <si>
    <t>212060201.3.8</t>
  </si>
  <si>
    <t>• IT 6.1.b.i CG-CAHPS 12-month: Timeliness of Appointments, Care, &amp; Information</t>
  </si>
  <si>
    <t>• Recruit specialists for the new primary care clinic in North Harris County. 
• The new primary care clinic’s service hours will be extended to provide evening and weekend appointment options, which will be covered by the UTP specialty services as well. 
• Standardized referral systems will be put in place to ensure access to these specialists.</t>
  </si>
  <si>
    <t>Increase specialty care clinic volume of visits and evidence of improved access for patients seeking services.</t>
  </si>
  <si>
    <t>• Recruit specialists for outlying clinics (4 pulmonologists, 2 endocrinologists, and 2 cardiologists). 
• Clinic service hours will be extended to provide evening and weekend appt. options. 
• Standardized referral systems will be put in place to ensure access to these specialists.</t>
  </si>
  <si>
    <t>• The UT medical homes will include services in the areas of dentistry, women's' health, maternal-fetal health, trauma and rehabilitation, sports  medicine/ orthopedics, behavioral &amp; mental health, cardiovascular diseases, neurosciences, pediatrics and geriatrics. 
• This Multispecialty Physician Group will provide an extensive network of specialty support centers for primary care providers, built on the concept of an "advanced medical home". 
• Patients will be assigned to a primary care provider within the UT Physicians system of primary &amp; specialty care physicians.</t>
  </si>
  <si>
    <t>Number or percent of eligible patients assigned to medical homes, where “eligible” is defined by the UT Physicians.</t>
  </si>
  <si>
    <t>• Expand the number of Specialty Care Physicians (SCPs) by the addition of Obstetrics and Gynecology, Cardiology/Interventional Cardiology, Otolaryngology and Orthopedic specialty services</t>
  </si>
  <si>
    <t>• Increase the number of outpatient physical and occupational therapy providers in order to improve access and meet unmet demand for patients who are being referred for services from NCQA medical homes and specialty clinics.</t>
  </si>
  <si>
    <t>Documentation of increased number of PT/OT visits at expansion sites.</t>
  </si>
  <si>
    <t>• Address the inefficiency of specialty clinics (focusing primarily on diabetes and rheumatology clinics) by making possible ordering best practices diagnostic algorithmic workups and eliminating the current practice of sequential ordering of individual tests.</t>
  </si>
  <si>
    <t>1
27210</t>
  </si>
  <si>
    <t>33.7
7157</t>
  </si>
  <si>
    <t>33.7
0.263028</t>
  </si>
  <si>
    <t>Number of unique individuals impacted by algorithmic work-ups</t>
  </si>
  <si>
    <t>• Implement telemedicine to provide clinical support and patient consultations by a pharmacist after hours and on weekends to reduce medication errors</t>
  </si>
  <si>
    <t>Increase number of telemedicine visits for each specialty identified as high need</t>
  </si>
  <si>
    <t>• The Neurology Service will focus on provider productivity and hire additional clinical providers in order to expand internal capacity.</t>
  </si>
  <si>
    <t>Data absent in the template
12.00</t>
  </si>
  <si>
    <t>Data absent in the template 
392</t>
  </si>
  <si>
    <t>Data absent in the template
32.6667</t>
  </si>
  <si>
    <t>• Expand the training of subspecialists, expand the role of a referral center to better allocate children with different needs to a provider that can best suit their needs, refine the role of a Primary Care Pediatrician to help provide long term care, and expand internal provider capacity and hire additional clinical workers.</t>
  </si>
  <si>
    <t>6
Data absent in the template</t>
  </si>
  <si>
    <t>612
Data absent in the template</t>
  </si>
  <si>
    <t>17
Data absent in the template</t>
  </si>
  <si>
    <t>• Increase outpatient access for Harris County and the surrounding communities to care for pediatric patients with allergy, asthma, primary immunodeficiency and secondary immunodeficiency</t>
  </si>
  <si>
    <t>Data absent in the template
6</t>
  </si>
  <si>
    <t>Data absent in the template
241</t>
  </si>
  <si>
    <t>Data absent in the template
40.1667</t>
  </si>
  <si>
    <t>• Increase outpatient access for Harris County and surrounding communities to care for pediatric patients with hearing loss to sinus disease and swallowing abnormalities and those patients with disorders of the ear, nose, and/or throat.</t>
  </si>
  <si>
    <t>Documentation of increased number of visits. Demonstrate improvement over prior reporting period (baseline established in FY12).</t>
  </si>
  <si>
    <t>• The Plastic Surgery division has and will continue to add clinic coverage at Texas Children's West Campus and expand its clinical locations.</t>
  </si>
  <si>
    <t xml:space="preserve">• Increase access to pediatric neurology services provided through Texas Children's Neurology Division by: 
1) utilizing advanced practice providers to see lower acuity pediatric neurology patients, thereby allowing neurosurgeons to see more complex pediatric spine and epilepsy patients; and 
2) expanding services to fetal, craniofacial and trauma cases. </t>
  </si>
  <si>
    <t xml:space="preserve">• Increase access for children to pediatric subspecialty services in the Orthopedic Surgery clinic at Texas Children’s Hospital. 
• Within the next five years the division would like to enhance its sub-specialization in the following areas of Sports Medicine, Orthopedic Oncology, Leg and Limb Deformity, and Hand/Upper Extremity. </t>
  </si>
  <si>
    <t xml:space="preserve">• Increase capacity in Texas Children's Cancer and Hematology Clinic  </t>
  </si>
  <si>
    <t>• Increase critical access for the Harris County and surrounding communities to care for pediatric pts with diseases characterized by inflammation of the joints, muscles and/or tendons.</t>
  </si>
  <si>
    <t>534
Data absent in the Template</t>
  </si>
  <si>
    <t>89
Data absent in the template</t>
  </si>
  <si>
    <t>• Increase outpatient access for Harris County and the surrounding communities to care for pediatric patients with congenital heart disease</t>
  </si>
  <si>
    <t>• Increase outpatient access for Harris County, specifically North Houston, to care for pediatric patients with conditions affecting the lungs and respiratory tract.</t>
  </si>
  <si>
    <t>• Increase access to pediatric opthalmology services provided through Texas Children's Opthalmology Clinic by: 
1) adding an optometrist to see lower acuity pediatric opthalmology patients, thereby allowing ophthalmic surgeons to see more complex pediatric ophthalmology patients; and 
2) expanding services  over the next five years with programs such as Ocular Trauma, Ocular Plastics, Pediatric Glaucoma and focus of the Retina can Cornea pediatric patients.</t>
  </si>
  <si>
    <t>• Increase outpatient access for Harris County and the surrounding communities to care for pediatric patients with conditions affecting the digestive system.</t>
  </si>
  <si>
    <t>• Increase outpatient access for Harris County and the surrounding communities to care for pediatric patients with conditions affecting the endocrine system.</t>
  </si>
  <si>
    <t>• Increase the number of children evaluated for abuse and neglect by a child abuse specialist by increasing clinic appts and the number of providers</t>
  </si>
  <si>
    <t>• Recruit an otolaryngologist (ENT physician) and an orthopedic specialist to provide specialty care at Rice’s clinic</t>
  </si>
  <si>
    <t>Number of Projects by Outcomes and Project Type</t>
  </si>
  <si>
    <t>Expand Specialty Care</t>
  </si>
  <si>
    <t xml:space="preserve">GRAND TOTAL </t>
  </si>
  <si>
    <t>093774008.2.100</t>
  </si>
  <si>
    <t>093774008.3.100
093774008.3.204
093774008.3.205</t>
  </si>
  <si>
    <t>• IT 6.2.a Client Satisfaction Questionnaire 8 (CSQ-8)
• IT 8.23 Children and Adolescents’ Access to Primary Care Practitioners (CAP)
• IT 12.10 Adults (18+ years) Immunization status</t>
  </si>
  <si>
    <t>093774008.2.101</t>
  </si>
  <si>
    <t>093774008.3.103
093774008.3.504
093774008.3.505</t>
  </si>
  <si>
    <t>• IT 15.12 Gonorrhea screening rates
• IT 12.6 Influenza Immunization -Ambulatory
• IT 12.10 Adults (18+ years) Immunization status</t>
  </si>
  <si>
    <t>• P4R
• P4P
• P4P</t>
  </si>
  <si>
    <t>093774008.2.2</t>
  </si>
  <si>
    <t>093774008.3.202
093774008.3.203
093774008.3.5</t>
  </si>
  <si>
    <t>• IT 12.10 Adults (18+ years) Immunization status
• IT 1.28 Preventive Care and Screening: Screening for High Blood Pressure and Follow-Up Documented
• IT 6.2.a Client Satisfaction Questionaire 8(CSQ-8)</t>
  </si>
  <si>
    <t>093774008.2.3</t>
  </si>
  <si>
    <t>093774008.3.6</t>
  </si>
  <si>
    <t>• IT 15.11 Follow-up after Treatment for Primary or Secondary Syphilis</t>
  </si>
  <si>
    <t>West Houston Medical Center</t>
  </si>
  <si>
    <t>094187402.2.1</t>
  </si>
  <si>
    <t>094187402.3.1</t>
  </si>
  <si>
    <t>• IT 3.5 Risk Adjusted Diabetes 30-day Readmission Rate</t>
  </si>
  <si>
    <t>111810101.2.101</t>
  </si>
  <si>
    <t>111810101.3.105
111810101.3.106
111810101.3.107</t>
  </si>
  <si>
    <t>• IT 15.7 Chlamydia Screening and Follow up in adolescents
• IT 15.3 HIV Screening: Patients at High Risk of HIV 
• IT 1.29 Weight Assessment and Counseling for Nutrition and Physical Activity for Children/Adolescents</t>
  </si>
  <si>
    <t>111810101.2.3</t>
  </si>
  <si>
    <t>111810101.3.19</t>
  </si>
  <si>
    <t>• IT 3.17 Risk Adjusted Chronic Obstructive Pulmonary Disease (COPD) 30-day Readmission Rate</t>
  </si>
  <si>
    <t>111810101.2.6</t>
  </si>
  <si>
    <t>111810101.3.26</t>
  </si>
  <si>
    <t>127303903.2.2</t>
  </si>
  <si>
    <t>127303903.3.5</t>
  </si>
  <si>
    <t>130959304.2.1</t>
  </si>
  <si>
    <t>130959304.3.2</t>
  </si>
  <si>
    <t>• IT 9.2 Reduce Emergency Department(ED) Visits for Ambulatory Care Sensitve Conditions(ASC) per 100,000</t>
  </si>
  <si>
    <t>133355104.2.2</t>
  </si>
  <si>
    <t>133355104.3.16</t>
  </si>
  <si>
    <t>133355104.2.4</t>
  </si>
  <si>
    <t>133355104.3.24</t>
  </si>
  <si>
    <t>• IT 8.12 Pre-term birth rate</t>
  </si>
  <si>
    <t>137805107.2.1</t>
  </si>
  <si>
    <t>137805107.3.500
137805107.3.501
137805107.3.502</t>
  </si>
  <si>
    <t>296760601.2.1</t>
  </si>
  <si>
    <t>296760601.3.2</t>
  </si>
  <si>
    <t xml:space="preserve">• Houston Health Connect will provide navigation support, case management services and evidenced based chronic disease self-management and health education programming to individuals who are uninsured, disconnected from a medical home, referred for follow-up from a health care provider, disconnected or newly connected to a medical home as a result of Affordable Care Act (ACA) Marketplace Exchange enrollment and Medicaid enrollees who are frequent users of hospital and crisis services.  </t>
  </si>
  <si>
    <t xml:space="preserve">Total number of unique patients provided with Navigation services or enrolled in Navigator program for reporting period. </t>
  </si>
  <si>
    <t xml:space="preserve">• HDHHS will implement a project that provides care management services that integrate primary and behavioral health needs of released ex-offenders, parolees and probationers in Houston, Harris County.
• The Community Re-Entry Network Program (CRNP), Integrated Health Services Project  will provide a multi-dimensional clinical approach to assess and address the mental, physical and psychosocial needs of ex-offenders released from prison  and probationers in Houston, Harris County.  </t>
  </si>
  <si>
    <t>56
93.00
93.00</t>
  </si>
  <si>
    <t>50
37
26</t>
  </si>
  <si>
    <t>• Care Houston Links is a new program that will provide care coordination to reduce the frequency of non-urgent ambulance runs and ER visits and link 911 callers to appropriate primary and preventive care in lieu of necessary emergency room care.</t>
  </si>
  <si>
    <t>241
288.00
238.00</t>
  </si>
  <si>
    <t>208
36
8219</t>
  </si>
  <si>
    <t>0.863071
0.1250
34.5336</t>
  </si>
  <si>
    <t>Documentation of increased number of unique patients served by innovative program. Demonstrate improvement over prior reporting period</t>
  </si>
  <si>
    <t>• Use pt navigators to connect 300 new at risk HIV diagnosed individuals to appropriate care.  Linkage to care will consist of active referrals to primary medical care, mental health, substance abuse, support services, and services for basic needs such as food and housing. 
• Utilizing a Community-Based (Non-Medical) Case Management model, this program will also identify frequent ED utilizes and use navigators as part of a preventable ED reduction program.</t>
  </si>
  <si>
    <t>DY3-Increase in the number or percent of targeted patients enrolled in the program                                              
Documentation of increased number of unique patients served by innovative program. Demonstrate improvement over prior reporting period.</t>
  </si>
  <si>
    <t>• Improve the patient throughput, overall experience &amp; quality of care for geriatric patients through a designated “Senior Care Entrance” at hospital &amp; assign special hospital beds to accommodate geriatric population. 
• Train &amp; maintain a Senior Care Coordinator dedicated to overseeing protocol-driven geriatric care, assisting seniors in managing appointments, maintaining individual healthcare regimens, &amp; accessing available support through the hospital and the community.</t>
  </si>
  <si>
    <t xml:space="preserve">• The UT medical homes for post-detention adolescents and at-risk youth will provide all medical and psycho-social services for this population. 
• Our innovative program involves facilitating access to the medical home by assisting youths and their guardians in arranging clinic visits, transportation, overcoming language barriers, and other challenges that may interfere with clinic visits.  </t>
  </si>
  <si>
    <t>• Target pts at high risk of disconnect from institutionalized health care; specifically, patients that entered Memorial Hermann Hospital-TMC through the emergency department. 
• Care navigators will support these pts to navigate through the continuum of health care services.</t>
  </si>
  <si>
    <t xml:space="preserve">Number of patients receiving navigation services. </t>
  </si>
  <si>
    <t>• Implement a comprehensive transitions of care program which will ensure that pts have an appt for follow-up with an appropriate physician(s) prior to leaving the hospital, understand their discharge medications and other instructions and are followed up post discharge.</t>
  </si>
  <si>
    <t>Target population reached with evidence-based care transitions services.</t>
  </si>
  <si>
    <t>• Patient Navigators will help and support these patients to navigate through the continuum of health care services. 
• Navigators will ensure that patients receive coordinated, timely and site-appropriate health care services.</t>
  </si>
  <si>
    <t>Increase number of PCP referrals for patients without a medical home who use the ED, urgent care, and/or hospital services</t>
  </si>
  <si>
    <t>• Patient Care Navigation Service will utilize community health workers, case managers and/or other types of health care professionals to provide enhanced social support and culturally competent care.</t>
  </si>
  <si>
    <t xml:space="preserve">DY4 Increase in the number or percent of targeted patients enrolled in the program                                                   
DY5 Improvements in access to care of patients receiving patient navigation services using innovative project option
</t>
  </si>
  <si>
    <t>• Target ED frequenters and ensure they are managed appropriately through a navigation system.</t>
  </si>
  <si>
    <t xml:space="preserve">Increase in the number of targeted patients enrolled in the program </t>
  </si>
  <si>
    <t>• Improve access to pre- and postnatal care through comprehensive, effective patient navigation through the Harris Health System and throughout a woman’s pregnancy, with a focus on high-risk mothers.</t>
  </si>
  <si>
    <t>• Expand the current Community Outreach for Person Empowerment (COPE) and ER Navigation programs within all Memorial facilities in RHP3.</t>
  </si>
  <si>
    <t>273
62
354</t>
  </si>
  <si>
    <t>273
62.00
354.00</t>
  </si>
  <si>
    <t>Increase in the number of targeted patients (uninsured and Medicaid patient without a PCP referred from registration) enrolled in the program.</t>
  </si>
  <si>
    <t>• Expand patient navigation services to a subset of the uninsured and underinsured population in the county which uses EMS and ED services inappropriately for non-emergent conditions and has no means to pay for the services</t>
  </si>
  <si>
    <t>Increase in the number or percent of targeted patients enrolled in the program</t>
  </si>
  <si>
    <t>QPI Grouping Measure</t>
  </si>
  <si>
    <t>QPI Target: DY3</t>
  </si>
  <si>
    <t>QPI Target: DY4</t>
  </si>
  <si>
    <t>QPI Target: DY5</t>
  </si>
  <si>
    <t>111810101.1.8</t>
  </si>
  <si>
    <t>111810101.3.15</t>
  </si>
  <si>
    <t>• IT 4.10 Sepsis bundle (NQF 0500)</t>
  </si>
  <si>
    <t>127303903.2.1</t>
  </si>
  <si>
    <t>127303903.3.4</t>
  </si>
  <si>
    <t xml:space="preserve">• IT 6.1.a.x HCAHPS likelihood to Recommend </t>
  </si>
  <si>
    <t>El Campo Memorial Hospital</t>
  </si>
  <si>
    <t>131045004.2.1</t>
  </si>
  <si>
    <t>131045004.3.1</t>
  </si>
  <si>
    <t>• IT 6.1a.x HCAHPS Likelihood to Recommend</t>
  </si>
  <si>
    <t>133355104.1.12</t>
  </si>
  <si>
    <t>133355104.3.14</t>
  </si>
  <si>
    <t>133355104.2.1</t>
  </si>
  <si>
    <t>133355104.3.15</t>
  </si>
  <si>
    <t>Pharmacy Dispensing</t>
  </si>
  <si>
    <t>• IT 5.1.b Improved Cost Savings: Demonstrate cost savings in care delivery-Cost Utility Analysis</t>
  </si>
  <si>
    <t>137909111.2.1</t>
  </si>
  <si>
    <t>137909111.3.2
137909111.3.204</t>
  </si>
  <si>
    <t>137909111.2.2</t>
  </si>
  <si>
    <t>137909111.3.200
137909111.3.201
137909111.3.3</t>
  </si>
  <si>
    <t xml:space="preserve">• IT 6.1.a.x HCAHPS likelihood to Recommend
•  IT 9.10.a Median Time from ED Arrival to ED Depature  for Discharged ED Patients 
• IT 6.1.a.iii HCAHPS Responsiveness of Hospital Staff </t>
  </si>
  <si>
    <t>• Develop a regional systems engineering center, that will recruit systems engineers to integrate with healthcare QI teams to cross train by applying systems engineering science to healthcare processes and develop interdisciplinary courses for health professional, students, engineers and administrative healthcare leadership.</t>
  </si>
  <si>
    <t>Number of unique individuals for whom the risk for hospital-acquired conditions is reduced.</t>
  </si>
  <si>
    <t>• Establish a patient experience program where patients feel safe, have their voices hear and are empowered. Involve staff education on communication skills.</t>
  </si>
  <si>
    <t>Percent improvement of patient satisfaction scores for a specific tool over baseline</t>
  </si>
  <si>
    <t>• Implement the AIDET Project to improve communication between patients and healthcare providers by providing employees with formal training of how to interact with patients to gain their trust which is essential for obtaining patient compliance and improving clinical outcomes</t>
  </si>
  <si>
    <t>Implement processes to measure and improve patient experience.</t>
  </si>
  <si>
    <t>• Establish a Center of Innovation to expand quality improvement capacity through people, processes and technology so that the resources are in place to conduct, report, drive and measure quality improvement.</t>
  </si>
  <si>
    <t>Number of individuals (inpatient) impacted by performance improvement projects</t>
  </si>
  <si>
    <t xml:space="preserve">Number of individuals positively impacted by increased number of prescriptions filled at central fill </t>
  </si>
  <si>
    <t xml:space="preserve">• Implement an automated medication dispensing system </t>
  </si>
  <si>
    <t>388
70.00</t>
  </si>
  <si>
    <t>11857
47.41</t>
  </si>
  <si>
    <t>30.55928
0.6773</t>
  </si>
  <si>
    <t xml:space="preserve">Implementation of automated medication dispensing system. </t>
  </si>
  <si>
    <t>• Reduce patient anxiety and increase patient satisfaction through patient experience training for employees. Process and measures will be implemented to measure and improve patient experiences resulting improved communication.</t>
  </si>
  <si>
    <t>63
4133
70</t>
  </si>
  <si>
    <t>39.68
466973
47.41</t>
  </si>
  <si>
    <t>Increase patient satisfaction scores for overall patient experience.</t>
  </si>
  <si>
    <t xml:space="preserve">            Outcome
Project Type
</t>
  </si>
  <si>
    <t>Project Unique ID</t>
  </si>
  <si>
    <t>Outcome Measure Unique ID (Cat 3)</t>
  </si>
  <si>
    <t>Outcome Type</t>
  </si>
  <si>
    <t>Measure Type (P4P or P4R)</t>
  </si>
  <si>
    <t>DY3 Baseline Rate</t>
  </si>
  <si>
    <t xml:space="preserve">QPI Measure Type (Ind or Enc) </t>
  </si>
  <si>
    <t>QPI Measure Description</t>
  </si>
  <si>
    <t xml:space="preserve">QPI Target DY3 </t>
  </si>
  <si>
    <t xml:space="preserve">QPI Target DY4 </t>
  </si>
  <si>
    <t>Total QPI Target DY3-5</t>
  </si>
  <si>
    <t xml:space="preserve">Target Incentive Payment DY2-5 Cat 1,2 </t>
  </si>
  <si>
    <t>Target Incentive Payment DY2-5 Cat 3</t>
  </si>
  <si>
    <t>Target Incentive Payment DY2-5 Cat 1, 2, 3</t>
  </si>
  <si>
    <t>Actual Incentive Payment DY3 Cat 3</t>
  </si>
  <si>
    <t>• Change in Use</t>
  </si>
  <si>
    <t xml:space="preserve">• Change in Satisfaction </t>
  </si>
  <si>
    <t xml:space="preserve">• Change in Use
</t>
  </si>
  <si>
    <t xml:space="preserve">• Change in Use </t>
  </si>
  <si>
    <t xml:space="preserve">• Change in Use
• Change in Satisfaction </t>
  </si>
  <si>
    <t>• Change in Behavior</t>
  </si>
  <si>
    <t>• Change in Satisfaction</t>
  </si>
  <si>
    <t>• Change in Use
• Change in Satisfaction</t>
  </si>
  <si>
    <t xml:space="preserve">• Change in Health </t>
  </si>
  <si>
    <t xml:space="preserve">• Change in Health  </t>
  </si>
  <si>
    <t>• Change in Use 
• Change in Health</t>
  </si>
  <si>
    <t>• Change in Health</t>
  </si>
  <si>
    <t xml:space="preserve">• Change in Health 
• Change in Satisfaction
 </t>
  </si>
  <si>
    <t xml:space="preserve">• Change in Use 
• Change in Health </t>
  </si>
  <si>
    <t xml:space="preserve">• Change in Health 
• Change in Satisfaction 
</t>
  </si>
  <si>
    <t>• Change in Satisfaction 
• Change in Health</t>
  </si>
  <si>
    <t>• Change in Use
• Change in Behavior</t>
  </si>
  <si>
    <t xml:space="preserve">• Change in Health 
</t>
  </si>
  <si>
    <t xml:space="preserve">• Change in Satisfaction
• Change in Use
</t>
  </si>
  <si>
    <t>• Change in Satisfaction 
• Change in Use</t>
  </si>
  <si>
    <t>• Change in Satisfaction
• Change in Use</t>
  </si>
  <si>
    <t xml:space="preserve">• Change in Health
• Change in Use
</t>
  </si>
  <si>
    <t xml:space="preserve">• Change in Use
• Change in Health
</t>
  </si>
  <si>
    <t xml:space="preserve">• Change in Health
</t>
  </si>
  <si>
    <t xml:space="preserve">• Change in Use
</t>
  </si>
  <si>
    <t>• Change in Cost</t>
  </si>
  <si>
    <t>Cat 3 IT# and Title</t>
  </si>
  <si>
    <t xml:space="preserve">Primary Care </t>
  </si>
  <si>
    <t>Navigation/Case Management</t>
  </si>
  <si>
    <t>Project Category</t>
  </si>
  <si>
    <t>Nurse Call Line</t>
  </si>
  <si>
    <t>Prevention/Wellness</t>
  </si>
  <si>
    <t>Expand Emergency Care</t>
  </si>
  <si>
    <t>Registry/Data Sharing</t>
  </si>
  <si>
    <t>Expand Dental Health</t>
  </si>
  <si>
    <t>Expand Primary Care Training</t>
  </si>
  <si>
    <t>Telemedicine</t>
  </si>
  <si>
    <t>Transition</t>
  </si>
  <si>
    <t>General</t>
  </si>
  <si>
    <t>Quality Improvement</t>
  </si>
  <si>
    <t>Target Incentive Payment DY3 Cat 3</t>
  </si>
  <si>
    <r>
      <rPr>
        <sz val="12"/>
        <rFont val="Tahoma"/>
        <family val="2"/>
      </rPr>
      <t>113180703.3.39</t>
    </r>
    <r>
      <rPr>
        <sz val="12"/>
        <color theme="1"/>
        <rFont val="Tahoma"/>
        <family val="2"/>
      </rPr>
      <t xml:space="preserve">
113180703.3.40</t>
    </r>
  </si>
  <si>
    <t>$247,644.00
$247,644.00</t>
  </si>
  <si>
    <t>$65,170.00
$65,170.00</t>
  </si>
  <si>
    <t>$169,012.00
$169,012.00</t>
  </si>
  <si>
    <t>$116,002.00
$116,002.00</t>
  </si>
  <si>
    <t>$71,034.00
$71,034.00</t>
  </si>
  <si>
    <t>$43,446.00
$43,446.00
$43,446.00</t>
  </si>
  <si>
    <t>$163,250.00
$163,250.00</t>
  </si>
  <si>
    <r>
      <t xml:space="preserve">113180703.3.18
</t>
    </r>
    <r>
      <rPr>
        <sz val="12"/>
        <rFont val="Tahoma"/>
        <family val="2"/>
      </rPr>
      <t>113180703.3.200</t>
    </r>
  </si>
  <si>
    <t>$66,364.00
$66,364.00</t>
  </si>
  <si>
    <t>$71,473.00
$23,824.00</t>
  </si>
  <si>
    <t>$69,308.00
$207,925.00</t>
  </si>
  <si>
    <t>$71,472.00
$23,824.00</t>
  </si>
  <si>
    <t>$248,030.00
$248,030.00
$248,030.00</t>
  </si>
  <si>
    <t>296760601.3.10
296760601.3.11</t>
  </si>
  <si>
    <t>$120,685.00
$144,822.00</t>
  </si>
  <si>
    <t>$56,480.00
$56,480.00</t>
  </si>
  <si>
    <t>$63,722.00
$63,722.00</t>
  </si>
  <si>
    <t>$68,066.00
$68,066.00</t>
  </si>
  <si>
    <t>$69,522.00
$69,522.00
$69,522.00</t>
  </si>
  <si>
    <t xml:space="preserve">$56,338.00
$56,338.00
$56,338.00
</t>
  </si>
  <si>
    <t>28
248
58</t>
  </si>
  <si>
    <t>118
248
39</t>
  </si>
  <si>
    <t>4.214286
1
0.6724</t>
  </si>
  <si>
    <t>Data absent in the template for both projects</t>
  </si>
  <si>
    <t>Data absent in the template  for both projects</t>
  </si>
  <si>
    <t>12.52
3.0190</t>
  </si>
  <si>
    <t>12.52
3.0923</t>
  </si>
  <si>
    <t>12.52
3.3295</t>
  </si>
  <si>
    <t>22
3.7988</t>
  </si>
  <si>
    <t>Data absent in the template for these projects</t>
  </si>
  <si>
    <t>Data absent in the template  for these projects</t>
  </si>
  <si>
    <t>123
84</t>
  </si>
  <si>
    <t>123
7714.6</t>
  </si>
  <si>
    <t>1
91.8405</t>
  </si>
  <si>
    <t>0.0246
9.3846</t>
  </si>
  <si>
    <t>0.69
10.8485</t>
  </si>
  <si>
    <t>0.9777
560.00
0.1000</t>
  </si>
  <si>
    <t>204.20
0.6773
0.6298</t>
  </si>
  <si>
    <t xml:space="preserve">80
</t>
  </si>
  <si>
    <t>093774008.3.13
093774008.3.200</t>
  </si>
  <si>
    <t>0.760817
0.7971
0.7687</t>
  </si>
  <si>
    <t>130959304.3.1
130959304.3.501</t>
  </si>
  <si>
    <t>0.2040
0.0200</t>
  </si>
  <si>
    <t>0.1548
0.7778
0.7561</t>
  </si>
  <si>
    <t>75.2688
0.6154
0.5441</t>
  </si>
  <si>
    <t xml:space="preserve">093774008.3.1
093774008.3.2
</t>
  </si>
  <si>
    <t>0.1012
0.0483
0.0349</t>
  </si>
  <si>
    <t>0.4355
0.2289
0.0222</t>
  </si>
  <si>
    <t>0.2165
0.1283
0.0408</t>
  </si>
  <si>
    <t>0.4648
0.0891
0.1295</t>
  </si>
  <si>
    <t>0.0891
0.4648
0.1295</t>
  </si>
  <si>
    <t>130959304.3.3
130959304.3.500</t>
  </si>
  <si>
    <t>0.6303
0.9080
0.3319</t>
  </si>
  <si>
    <t>0.5078
0.9080
0.3319</t>
  </si>
  <si>
    <t>31.65
4849</t>
  </si>
  <si>
    <t>0.608654
1</t>
  </si>
  <si>
    <t>0.8723
0.8121
0.8292</t>
  </si>
  <si>
    <t>0.8929
0.3978
0.2796</t>
  </si>
  <si>
    <t>0.629841
112.99
0.6773</t>
  </si>
  <si>
    <t>$123,822.00
$247,644.00</t>
  </si>
  <si>
    <t>$87,328.00
$87,328.00</t>
  </si>
  <si>
    <t>$87,328.00
$43,664.00</t>
  </si>
  <si>
    <t>$32,585.00
$32,585.00</t>
  </si>
  <si>
    <t>$35,517.00
$71,034.00</t>
  </si>
  <si>
    <t>$21,723.00
$21,723.00
$21,723.00</t>
  </si>
  <si>
    <t>0
$138,617.00</t>
  </si>
  <si>
    <t>$35,736.00
0</t>
  </si>
  <si>
    <t>$124,015.00
$124,015.00
$124,015.00</t>
  </si>
  <si>
    <t>$48,274.00
$144,822.00</t>
  </si>
  <si>
    <t xml:space="preserve">$56,480.00
$28,240.00
</t>
  </si>
  <si>
    <t>$31,861.00
$63,722.00</t>
  </si>
  <si>
    <t>$34,761.00
$34,761.00
$34,761.00</t>
  </si>
  <si>
    <t>$28,169.00
$28,169.00
$28,169.00</t>
  </si>
  <si>
    <t>$81,625.00
$81.625.00</t>
  </si>
  <si>
    <t>$33,182.00
0</t>
  </si>
  <si>
    <t>$68,066.00
$34,033.00</t>
  </si>
  <si>
    <t>$84,506.00
$84.506.00</t>
  </si>
  <si>
    <t xml:space="preserve">•  IT 1.24 Adolescent tobacco use </t>
  </si>
  <si>
    <t>•  IT 1.23 Tobacco Use: Screening &amp; Cessation</t>
  </si>
  <si>
    <t>• IT 1.13 Diabetes care:  Foot exam</t>
  </si>
  <si>
    <t xml:space="preserve">• IT 12.4 Pneumonia vaccination status for older adults </t>
  </si>
  <si>
    <t>• IT 12.6 Influenza Immunization--Ambulatory</t>
  </si>
  <si>
    <t>• IT 3.14 Behavioral Health/Substance Abuse 30-day Readmission Rate</t>
  </si>
  <si>
    <t>• IT 1.4 Annual monitoring for patients on persistent medications-Diuretic</t>
  </si>
  <si>
    <t xml:space="preserve">• IT 1.2 Annual monitoring for patients on persistent medications- Angiotsein Converting Enzyme(ACE) inhibitors or Angiotesin Receptoer Blockers (ARBs) </t>
  </si>
  <si>
    <t xml:space="preserve">• IT 1.3 Annual monitoring for patients on persistent medications- Digoxin </t>
  </si>
  <si>
    <t xml:space="preserve">• IT 1.27 Pain Assessment and Follow-up </t>
  </si>
  <si>
    <t>• IT 1.28 Preventive Care and Screening: Screening for High Blood Pressure and Follow-Up Documented</t>
  </si>
  <si>
    <t>•  IT 1.21 Adult Body Mass Index (BMI) Assessment</t>
  </si>
  <si>
    <t>• IT 11.15 Depression Screening by 18 years of age</t>
  </si>
  <si>
    <t>• IT 10.4.a Developmental Profile 3 (DP-3)</t>
  </si>
  <si>
    <t>• IT 10.4.b Vineland Adaptive Behavior Scales, 2nd Edition (VABS II)</t>
  </si>
  <si>
    <t xml:space="preserve">• IT 11.22 Child and Adolescent Major Depressive Disorder: Suicide Risk Assessment </t>
  </si>
  <si>
    <t xml:space="preserve">• IT 11.26.d Children and Adolescent Needs and Strengths Assessment (CANS-MH) </t>
  </si>
  <si>
    <t>• IT 11.26.e.i Patient Health Questionnaire 9 (PHQ-9)
• IT 11.25 Daily Living Activities (DLA-20)</t>
  </si>
  <si>
    <t>• IT 11.6 Follow-up Care for Children Prescribed ADHD Medication (ADD)</t>
  </si>
  <si>
    <t>• IT 12.1 Breast Cancer Screening</t>
  </si>
  <si>
    <t xml:space="preserve">• IT 12.2 Cervical Cancer Screening </t>
  </si>
  <si>
    <t>• IT 12.3 Colorectal Cancer Screening</t>
  </si>
  <si>
    <t xml:space="preserve">• IT 11.26.e.v Edinburg Postpartum Depression Scale </t>
  </si>
  <si>
    <t>• IT 12.10 Adults (18+ years) Immunization status</t>
  </si>
  <si>
    <t>• IT 6.2.a Client Satisfaction Questionaire 8(CSQ-8)</t>
  </si>
  <si>
    <t>• IT 12.9 Childhood immunization status</t>
  </si>
  <si>
    <t>• IT 11.25 Daily Living Activities (DLA-20)</t>
  </si>
  <si>
    <t xml:space="preserve">• IT 12.8 Immunization for Adolescents-Tdap/TD and MCV </t>
  </si>
  <si>
    <t>• IT 12.5 Pneumococcal Immunization - Inpatient</t>
  </si>
  <si>
    <t xml:space="preserve">• IT 14.6 Percent of trainees who have spent at least 5 years living in a health-professional shortage area(HPSA) or medically underserved area </t>
  </si>
  <si>
    <t xml:space="preserve">• IT 14.7 Percent of trainees who report that they plan to practice in HPSAs or MUAs based on a systematic survey </t>
  </si>
  <si>
    <t>• IT 14.8 Percent of trainees who report that they plan to serve Medicaid populations based on a systematic survey</t>
  </si>
  <si>
    <t>• IT 15.12 Gonorrhea screening rates</t>
  </si>
  <si>
    <t>• IT 15.7 Chlamydia Screening and Follow up in adolescents</t>
  </si>
  <si>
    <t xml:space="preserve">• IT 15.3 HIV Screening: Patients at High Risk of HIV </t>
  </si>
  <si>
    <t>• IT 1.29 Weight Assessment and Counseling for Nutrition and Physical Activity for Children/Adolescents</t>
  </si>
  <si>
    <t>• IT 2.21 Ambulatory Care Sensitive Conditions Admissions Rate</t>
  </si>
  <si>
    <t>• IT 2.22 Prevention Quality Indicators (PQI) Composite Measure Potentially Preventable Hospitalizations for Ambulatory Care Sensitive Conditions</t>
  </si>
  <si>
    <t>• IT 3.1 Hospital-Wide All-Cause Unplanned Readmission Rate</t>
  </si>
  <si>
    <t>• IT 2.25 Pain Admission Rate</t>
  </si>
  <si>
    <t>• IT 3.2 Congestive Heart Failure (CHF) 30-day Readmission Rate</t>
  </si>
  <si>
    <t>• IT 4.19 Falls: Screening, Risk-Assessment, and Plan of Care to Prevent Future Falls</t>
  </si>
  <si>
    <t>• IT 10.1.a.i Assessment of Quality of Life(AQoL-4D)</t>
  </si>
  <si>
    <t xml:space="preserve">• IT 5.1.d Improved Cost Savings: Demonstrate cost savings in care delivery-Cost Utility Analysis 
• IT 6.1.aiii HCAHPS Responsiveness of Hospital Staff </t>
  </si>
  <si>
    <t xml:space="preserve">• IT 5.1.d Improved Cost Savings: Demonstrate cost savings in care delivery-Cost Utility Analysis </t>
  </si>
  <si>
    <t>• IT 6.1.aiii HCAHPS Responsiveness of Hospital Staff</t>
  </si>
  <si>
    <t xml:space="preserve">•  IT 9.10.a Median Time from ED Arrival to ED Depature  for Discharged ED Patients </t>
  </si>
  <si>
    <t>• IT 9.5 Reduce low acuity ED visits</t>
  </si>
  <si>
    <t>• IT 6.1.b.ii CG-CAHPS 12-month: Provider Communication</t>
  </si>
  <si>
    <t>• IT 11.16 Assesment for Substance Abuse Problems of Psychiatric Patients</t>
  </si>
  <si>
    <t>• IT 11.19 Assesment for Psychosocial Issues of  Psychiatric Patients</t>
  </si>
  <si>
    <t>• IT 11.21 Assesment of Major Depressive Symtoms</t>
  </si>
  <si>
    <t xml:space="preserve">• IT 10.2.a Supports Intensity Scale (SIS) </t>
  </si>
  <si>
    <t>• IT 6.1.d.i CG-CAHPS Visit Survey 2.0: Timeliness of Appointments, Care, &amp; Information</t>
  </si>
  <si>
    <t>• IT 1.34 Appropriate Testing for Children With Pharyngitis</t>
  </si>
  <si>
    <t>• IT 8.23 Children and Adolescents’ Access to Primary Care Practitioners (CAP)</t>
  </si>
  <si>
    <t>• IT 6.2.c Health Center Patient Satisfaction Survey</t>
  </si>
  <si>
    <t>• IT 7.10 Cavities: Adult</t>
  </si>
  <si>
    <t>• IT 7.2 Cavities: Children</t>
  </si>
  <si>
    <t xml:space="preserve">• IT 7.4 Tropical Fluoride application Urgent Dental Needs in Childred: Percentage of children with urgent care needs </t>
  </si>
  <si>
    <t xml:space="preserve">• IT 7.6 Urgent Dental Needs in Childred: Percentage of children with urgent care needs </t>
  </si>
  <si>
    <t>• IT 7.8 Chronic Disease Patients Accessing Dental Services</t>
  </si>
  <si>
    <t>• IT 8.19 Post-Partum Follow-UP and Care Coordination</t>
  </si>
  <si>
    <t>• IT 8.2 Percentange of Low Birth-weight births
• IT 8.1 Timeliness of Prenatal/Postnatal Care
• IT 8.19 Post-Partum Follow-Up and Care Coordination</t>
  </si>
  <si>
    <t>• IT 8.2 Percentange of Low Birth-weight births</t>
  </si>
  <si>
    <t>• IT 8.1 Timeliness of Prenatal/Postnatal Care</t>
  </si>
  <si>
    <t>• IT 8.22 Well-Child Visits in the Third, Fourth, Fifth and Sixth Years of Life</t>
  </si>
  <si>
    <t>• IT 8.24 Adolescent Well-Care Visits (AWC)</t>
  </si>
  <si>
    <t>• IT 8.9 Youth Pregnancy Rate</t>
  </si>
  <si>
    <t>• IT 12.11 HPV Vaccine for Adolescents</t>
  </si>
  <si>
    <t>• IT 9.1 Decrease in Mental Health admissions and readmissions to criminal justice settings such as jails or prison
• IT 11.25 Daily Living Activities (DLA-20)</t>
  </si>
  <si>
    <t xml:space="preserve">• IT 9.10 ED throughput measure bundle </t>
  </si>
  <si>
    <t>• IT 9.10.a Median Time from ED Arrival to ED Departure for Discharged ED Patients</t>
  </si>
  <si>
    <t>• IT 9.10.b Median time from admit decision time to time of departure from the ED for ED patients admitted to inpatient status</t>
  </si>
  <si>
    <t>• IT 9.10.c Median time from ED arrival to time of departure from the emergency room for patients admitted to the facility from the ED</t>
  </si>
  <si>
    <t>• IT 9.10.c Median time from ED arrival to time of depatured from the ER for patients admitted o the facility from the ED 
• IT 6.1.aiii  HCAHPS Responsiveness of Hospital Staff 
• IT 6.1.a.x HCAHPS likelihood to Recommend</t>
  </si>
  <si>
    <t xml:space="preserve">• IT 9.2 Reduce Emergency Department(ED) visits for Ambulatory Care Sensitve Conditions(ACSC) per 100,000 </t>
  </si>
  <si>
    <t xml:space="preserve">• IT 9.2 Reduce ED visits for ACSC per 100,000
• IT 1.11 Diabetes care:  BP control (&lt;140/90mm Hg) </t>
  </si>
  <si>
    <t>• IT 9.4.e Reduce Emergency Department (ED) visits for Behavioral Health/Substance Abuse</t>
  </si>
  <si>
    <t>• IT 9.4.e Reduce Emergency Department visits for Behavioral Health/ Substance Abuse</t>
  </si>
  <si>
    <t>• IT 9.4.b Reduce Emergency Department visits for Diabetes</t>
  </si>
  <si>
    <t xml:space="preserve">• IT 9.8 Care Transition: Records with specified Elements received by discharged patients(Emergency Department discharged to ambulatory care[Home/Self Care] or Home Health Care) </t>
  </si>
  <si>
    <t>• IT 9.6 Emergency Department(ED) visits where patients left without being seen</t>
  </si>
  <si>
    <t xml:space="preserve">• IT 10.1.a.i Assessment of Quality of Life (AQoL-4D)
</t>
  </si>
  <si>
    <t xml:space="preserve"> • IT 7.1 Dental Sealant: Children
 • IT 7.2 Cavities: Children
</t>
  </si>
  <si>
    <t xml:space="preserve">• IT 12.4 Pneumonia vaccination status for older adults 
• IT 12.6 Influenza Immunization -- Ambulatory
• IT 12.9 Childhood immunization status </t>
  </si>
  <si>
    <t>• IT-7.1 Dental Sealant: Children</t>
  </si>
  <si>
    <t>Measure Title</t>
  </si>
  <si>
    <t>#</t>
  </si>
  <si>
    <t xml:space="preserve">• IT 1.1 Third next available appointment </t>
  </si>
  <si>
    <t>BH</t>
  </si>
  <si>
    <t>CC</t>
  </si>
  <si>
    <t>CM/Navigation</t>
  </si>
  <si>
    <t>EC</t>
  </si>
  <si>
    <t>PC</t>
  </si>
  <si>
    <t>SC</t>
  </si>
  <si>
    <t>HP/DP</t>
  </si>
  <si>
    <t>Other</t>
  </si>
  <si>
    <t>Available (Col X)</t>
  </si>
  <si>
    <t>Earned (Col W)</t>
  </si>
  <si>
    <t>(%)</t>
  </si>
  <si>
    <t>Available (Col V)</t>
  </si>
  <si>
    <t>Actual Incentive Payment DY4R1 Cat 3</t>
  </si>
  <si>
    <t xml:space="preserve">           Outcome
Project Type</t>
  </si>
  <si>
    <t>$69,308.00
$69,308.00</t>
  </si>
  <si>
    <t>0.00
$28,240.00</t>
  </si>
  <si>
    <t>$0.00
$34,033.00</t>
  </si>
  <si>
    <t>$84,506.00
$0.00</t>
  </si>
  <si>
    <t>$69,308.00
$69,308.02</t>
  </si>
  <si>
    <t xml:space="preserve">$84,506.00
</t>
  </si>
  <si>
    <t>DY4 Included (New Col X)</t>
  </si>
  <si>
    <t>DY4 Incl Col W</t>
  </si>
  <si>
    <t>DY4 Included (New Col W/X)</t>
  </si>
  <si>
    <t>CM/Nav</t>
  </si>
  <si>
    <t>1.7 - Introduce, Expand, or Enhance Telemedicine/Telehealth</t>
  </si>
  <si>
    <t>1.12 - Enhance service availability (i.e., hours, locations, transportation, mobile clinics) to appropriate levels of behavioral health care</t>
  </si>
  <si>
    <t>1.13 - Development of behavioral health crisis stabilization services as alternatives to hospitalization.</t>
  </si>
  <si>
    <t>1.9 - Expand Specialty Care Capacity</t>
  </si>
  <si>
    <t>2.13 - Provide an intervention for a targeted behavioral health population to prevent unnecessary use of services in a specified setting (i.e., the criminal justice system, ER, urgent care etc.).</t>
  </si>
  <si>
    <t>2.15 - Integrate Primary and Behavioral Health Care Services</t>
  </si>
  <si>
    <t xml:space="preserve">2.14 - Implement person-centered wellness self-management strategies and self directed financing models that empower consumers to take charge of their own health care. </t>
  </si>
  <si>
    <t xml:space="preserve">1.11 - Implement technology-assisted services (telehealth, telemonitoring, telementoring, or telemedicine) to support, coordinate, or deliver behavioral health services </t>
  </si>
  <si>
    <t>2.17 - Establish improvements in care transition from the inpatient setting for individuals with mental health and / or substance abuse disorders.</t>
  </si>
  <si>
    <t>127303903.2.101</t>
  </si>
  <si>
    <t>2.9 - Establish/Expand a Patient Care Navigation Program</t>
  </si>
  <si>
    <t>2.12 - Implement/Expand Care Transitions Programs</t>
  </si>
  <si>
    <t>2.6 - Implement Evidence-based Health Promotion Programs</t>
  </si>
  <si>
    <t>2.7 - Implement Evidence-based Disease Prevention Programs</t>
  </si>
  <si>
    <t>1.3 - Implement a Chronic Disease Management Registry</t>
  </si>
  <si>
    <t>2.2 - Expand Chronic Care Management Models</t>
  </si>
  <si>
    <t>2.11 - Conduct Medication Management</t>
  </si>
  <si>
    <t>2.8 - Apply Process Improvement Methodology to Improve Quality/Efficiency</t>
  </si>
  <si>
    <t>2.4 - Redesign to Improve Patient Experience</t>
  </si>
  <si>
    <t>1.6 - Expand Access to Urgent Care and Enhance Urgent Medical Advice</t>
  </si>
  <si>
    <t>1.10 - Enhance Performance Improvement and Reporting Capacity</t>
  </si>
  <si>
    <t>2.5 - Redesign for Cost Containment</t>
  </si>
  <si>
    <t>2.19 - Develop a care management function that integrates primary and behavioral health needs of individuals</t>
  </si>
  <si>
    <t>2.1 - Enhance/Expand Medical Homes</t>
  </si>
  <si>
    <t>1.1 - Expand Primary Care Capacity</t>
  </si>
  <si>
    <t>1.8 - Increase, Expand, and Enhance Oral Health Services</t>
  </si>
  <si>
    <t>1.2 - Increase Training of Primary Care Workforce</t>
  </si>
  <si>
    <t>2.3 - Redesign Primary Care</t>
  </si>
  <si>
    <t>2.10 - Use of Palliative Care Programs</t>
  </si>
  <si>
    <t>Project Goals</t>
  </si>
  <si>
    <t>Navigation/Case Management/Home Care</t>
  </si>
  <si>
    <t>Nav</t>
  </si>
  <si>
    <t>Prevention</t>
  </si>
  <si>
    <t>(Col Z) Actual Incentive Payment DY4R1 Cat 3</t>
  </si>
  <si>
    <t>(Col Y) Target Payments DY3 Cat 3</t>
  </si>
  <si>
    <t>(Col Z + Col X) Actual DY4 Cat 3 and DY3 Cat 3 Payments</t>
  </si>
  <si>
    <t>(Col X) Actual Payments DY3 Cat 3</t>
  </si>
  <si>
    <t>•  Change in Use 
• Change in Satisfaction</t>
  </si>
  <si>
    <t>• Change in Health 
• Change in Use</t>
  </si>
  <si>
    <t>Projects that did not report Baselines</t>
  </si>
  <si>
    <t>Projects that reported baselines</t>
  </si>
  <si>
    <t>Available Funds (Col W) DY2-5</t>
  </si>
  <si>
    <t>Cat 3 DY3 Available Funds (Col AD)</t>
  </si>
  <si>
    <t>%</t>
  </si>
  <si>
    <t>Navigation/Case Mgmt</t>
  </si>
  <si>
    <t xml:space="preserve">Target Incentive Payment Amount DY 2-5 for Cat 1, 2, 3 </t>
  </si>
  <si>
    <t>Total Individuals served during DY3-5</t>
  </si>
  <si>
    <t>Total Encounters provided during DY3-5</t>
  </si>
  <si>
    <t xml:space="preserve">Navigation/Case Management </t>
  </si>
  <si>
    <t>Change in Use</t>
  </si>
  <si>
    <t>Change in Health</t>
  </si>
  <si>
    <t xml:space="preserve">Change in Satisfaction </t>
  </si>
  <si>
    <t>Change in Use/Change in Health</t>
  </si>
  <si>
    <t>Change in Health/Change in Satisfaction</t>
  </si>
  <si>
    <t>Change in Use/Change in Satisfaction</t>
  </si>
  <si>
    <t>Chronic Care Project Types</t>
  </si>
  <si>
    <t xml:space="preserve">Total Incentive Payment Amount DY2-5 for Cat 1, 2, 3 </t>
  </si>
  <si>
    <t>Change in Behavior</t>
  </si>
  <si>
    <t>CUMULATIVE TOTAL</t>
  </si>
  <si>
    <t xml:space="preserve">QPI Target DY5 </t>
  </si>
  <si>
    <t>Target Incentive Payment Amount during DY2-5 for Cat 1, 2, 3</t>
  </si>
  <si>
    <t>Emergency Care Project Types</t>
  </si>
  <si>
    <t xml:space="preserve">Change in Use/Change in Satisfaction </t>
  </si>
  <si>
    <t>Primary Care Project Types</t>
  </si>
  <si>
    <t>Change in Satisfaction/Change in Use</t>
  </si>
  <si>
    <t>Change in Satisfaction</t>
  </si>
  <si>
    <t>Change in Health/Change in Use</t>
  </si>
  <si>
    <t>Change in Use/Change in Behavior</t>
  </si>
  <si>
    <t xml:space="preserve">Target Incentive Payment Amount DY3-5 for Cat 1, 2, 3 </t>
  </si>
  <si>
    <t>Specialty Care Project Type</t>
  </si>
  <si>
    <t xml:space="preserve">               Outcomes
Project Type</t>
  </si>
  <si>
    <t xml:space="preserve">Target Incentive Payment Amount during DY2-5 for Cat 1, 2, 3 </t>
  </si>
  <si>
    <t xml:space="preserve">CUMULATIVE TARGET </t>
  </si>
  <si>
    <t>Nurse Call line</t>
  </si>
  <si>
    <t xml:space="preserve">Change in Health </t>
  </si>
  <si>
    <t xml:space="preserve">                     Outcome
Project Type</t>
  </si>
  <si>
    <t>Prevention and Wellness Project Types</t>
  </si>
  <si>
    <t xml:space="preserve">Screening </t>
  </si>
  <si>
    <t>Screening/Treatment</t>
  </si>
  <si>
    <t>Registry/Data sharing</t>
  </si>
  <si>
    <t>General Category Project Types</t>
  </si>
  <si>
    <t xml:space="preserve">Quality Improvement </t>
  </si>
  <si>
    <t>Target Incentive Payment Amount during DY3-5 for Cat 1, 2, 3</t>
  </si>
  <si>
    <t>Cumulative Target</t>
  </si>
  <si>
    <t>Change in Cost</t>
  </si>
  <si>
    <t>Navigation Project Types</t>
  </si>
  <si>
    <t xml:space="preserve">CUMULATIVE TOTAL </t>
  </si>
  <si>
    <t xml:space="preserve">                        Outcome
Project Type</t>
  </si>
  <si>
    <t xml:space="preserve">               Outcome
Project Type</t>
  </si>
  <si>
    <t>Navigation</t>
  </si>
  <si>
    <t>Col AE (Col Z + Col X)</t>
  </si>
  <si>
    <t>of the projects did not report baselines</t>
  </si>
  <si>
    <t>Most Repeated Infrastructure Goal</t>
  </si>
  <si>
    <t>Times Repeated</t>
  </si>
  <si>
    <t>Most Repeated Innovation and Redesign Goal</t>
  </si>
  <si>
    <t>Most repeated goal %</t>
  </si>
  <si>
    <t>Most Repeated Goal %</t>
  </si>
  <si>
    <t>Hospitals</t>
  </si>
  <si>
    <t xml:space="preserve">Reported </t>
  </si>
  <si>
    <t>Unreported</t>
  </si>
  <si>
    <t>Sr #</t>
  </si>
  <si>
    <t>Cat 1-2 Incentive Payment Value for DY2</t>
  </si>
  <si>
    <t>Cat 1-2 Incentive Payment Value for DY3</t>
  </si>
  <si>
    <t>Cat 1-2 Incentive Payment Value for DY4</t>
  </si>
  <si>
    <t>Cat 1-2 Incentive Payment Value for DY5</t>
  </si>
  <si>
    <t>Cat 3 Incentive Payment Value for DY2</t>
  </si>
  <si>
    <t>Cat 3 Incentive Payment Value for DY3</t>
  </si>
  <si>
    <t>Cat 3 Incentive Payment Value for DY5</t>
  </si>
  <si>
    <t xml:space="preserve">Target Population </t>
  </si>
  <si>
    <t>• Indigent and underserved population in HPSA in need of behavioral health services</t>
  </si>
  <si>
    <t>This project will hire a primary care physician and other appropriate staff to provide primary care services to the Medicaid and uninsured population currently being served by Texana Center for their mental illness.  By providing both services in the same building, by the same performing provider, a “warm” hand off can be made the same day as the visit to the behavioral healthcare provider.  The interventions will include screenings, treatment, medication services, education services including disease management and nutrition, exercise and wellness.</t>
  </si>
  <si>
    <t>na (3 year project)</t>
  </si>
  <si>
    <t>• Patients who 1) use hospital ERs for non-emergent treatment for psychiatric diagnosis, 2) admit to hospitals for medical and/or psychiatric diagnosis and do not have safe/effective discharge plans so an unnecessary readmission occurs, 3) admit to hospitals are treated and stabilized and stay in a hospital longer than required because a lack of community resources to address psychiatric diagnoses exists.</t>
  </si>
  <si>
    <t xml:space="preserve">• Children with ASD diagnoses or related conditions from the age of diagnosis through the age of 8.  </t>
  </si>
  <si>
    <t>• All Medicaid and indigent patients in crisis and in need of assessment and stabilization services</t>
  </si>
  <si>
    <t>• Children under 3 years and their families in need of developmental delay services that do not qualify for Early Childhood Intervention (ECI).</t>
  </si>
  <si>
    <t xml:space="preserve">• Individuals dually diagnosed (intellectual and developmental disability (IDD: i.e., autism, pervasive developmental disorder (PDD) or mental retardation (MR)) who have a co-occurring serious and persistent mental illness and/or a history of challenging and harmful behaviors.  </t>
  </si>
  <si>
    <t xml:space="preserve">• Medicaid and uninsured/indigent patients in the Fort Bend County Behavioral Healthcare Clinics. </t>
  </si>
  <si>
    <t>• Individuals that have been arrested by the Police Department for alcohol or other substance abuse issue</t>
  </si>
  <si>
    <t>• Individuals with histories of mental illness, addiction, complicated medical problems and meet HUD’s definition of chronic homelessness and frequent users of hospitals and crises response systems</t>
  </si>
  <si>
    <t>• Behavioral health patients in need of access to physical health services</t>
  </si>
  <si>
    <t>• The provider's adult behavioral health clients</t>
  </si>
  <si>
    <t xml:space="preserve">• Children and adolescents, ages 3-17 years, from predominantly lower socioeconomic backgrounds. </t>
  </si>
  <si>
    <t>• The services areas of the 4 outlying clinics, health professional shortage areas, and medically underserved areas and populations</t>
  </si>
  <si>
    <t>• Children and adolescents in the service areas of the 4 outlying clinics, health professional shortage areas, and medically underserved areas and populations</t>
  </si>
  <si>
    <t xml:space="preserve">• Seriously mentally ill adults in the Northwest region of Harris County currently unable to access mental health services.  </t>
  </si>
  <si>
    <t xml:space="preserve">• Individuals who are visually impaired with behavioral health needs </t>
  </si>
  <si>
    <t>• Individuals who frequently access expensive emergency and other hospital services and jails due to the acuity associated with their co-occurring serious mental illness and substance use.</t>
  </si>
  <si>
    <t>• Individuals who have been discharged from Comprehensive Psychiatric Emergency Programs (CPEP) or Harris County Psychiatric Center (HCPC) and who have been provided referrals for ongoing patient treatment as well as those in our community seeking information about crisis care and who are trying to avoid emergency departments.</t>
  </si>
  <si>
    <t>• BH patients who would benefit from an intensive step-down program</t>
  </si>
  <si>
    <t>• Underserved children and adolescents in Harris County.</t>
  </si>
  <si>
    <t xml:space="preserve">• Children and adults with complex co-occurring psychiatric/behavioral and Intellectual and Developmental Disabilities (IDD) or Autism Spectrum Disorders (ASD) .  </t>
  </si>
  <si>
    <t xml:space="preserve">• Seriously mentally ill adults in the Northeast region of Harris County currently unable to access mental health services.  </t>
  </si>
  <si>
    <t xml:space="preserve">• Seriously mentally ill adults in the Southwest region of Harris County currently unable to access mental health services.  </t>
  </si>
  <si>
    <t xml:space="preserve">• Seriously mentally ill adults in the Southeast region of Harris County currently unable to access mental health services.  </t>
  </si>
  <si>
    <t xml:space="preserve">• Seriously mentally ill adults in an area of Harris County to be determined who are currently unable to access mental health services.  </t>
  </si>
  <si>
    <t xml:space="preserve">• Patients who voluntarily present to the MHMRA Psychiatric Emergency Service and are in need of assessment and treatment .  </t>
  </si>
  <si>
    <t xml:space="preserve">• Seriously mentally ill adults in Harris County with social and vocational functional impairments. </t>
  </si>
  <si>
    <t>• MHMRA patients who are not already seen by a primary care physician</t>
  </si>
  <si>
    <t xml:space="preserve">• Individuals who have been diagnosed with a serious and persistent mental illness, have frequent admissions to emergency and crisis services, and have frequent encounters with HPD. </t>
  </si>
  <si>
    <t>• Individuals in need of mental health services.</t>
  </si>
  <si>
    <t xml:space="preserve">• Underserved mentally ill adults in Harris County.
</t>
  </si>
  <si>
    <t>• Pregnant/parenting women with substance abuse and co-occurring mental health.</t>
  </si>
  <si>
    <t>• MHMRA consumers with a co-morbid substance abuse diagnosis</t>
  </si>
  <si>
    <t xml:space="preserve">• Individuals being discharged from state psychiatric hospitals and the local, public psychiatric facility, Harris County Psychiatric Center </t>
  </si>
  <si>
    <t>• Individuals who have been diagnosed with a serious and persistent mental illness, have frequent admissions to emergency and crisis services, and have frequent encounters with HPD</t>
  </si>
  <si>
    <t>• Adults with serious mental illnesses, children and adolescents with serious emotional disorders, the developmentally delayed and individuals experiencing acute psychiatric distress</t>
  </si>
  <si>
    <t>• Individuals in crisis who require law enforcement intervention</t>
  </si>
  <si>
    <t>• Harris County patients with IDD and ASD and their families</t>
  </si>
  <si>
    <t>• Harris County residents with comorbid mental health and Intellectual  Developmental Disabilities and Autism Spectrum Disorder (IDD/ASD) issues presenting in psychiatric emergency services</t>
  </si>
  <si>
    <t>• Patients presenting to OBMC’s ED who are diagnosed with behavioral health conditions.</t>
  </si>
  <si>
    <t xml:space="preserve">• Patients in need of behavioral health and mental health care in the ambulatory setting. </t>
  </si>
  <si>
    <t xml:space="preserve">• Patients in the following zip codes and surrounding areas of Harris County seeking behavioral health services: 77074, 77012, 77099, 77547, 77039, 77520, 77504, 77084, 77070. </t>
  </si>
  <si>
    <t>• At risk populations with co-morbid diseases of mental illness and chronic disease</t>
  </si>
  <si>
    <t xml:space="preserve">• Emergent psychiatric patients coming into Memorial's acute care facility. </t>
  </si>
  <si>
    <t xml:space="preserve">• Individuals age 55 and older with behavioral health care needs. </t>
  </si>
  <si>
    <t>• Individuals suffering from any behavioral health related condition who seek care in Methodist facilities</t>
  </si>
  <si>
    <t>• Individuals who suffer from any behavioral health related condition and who are seeking care in our facilities, more specifically those who are covered by Medicaid or without insurance coverage</t>
  </si>
  <si>
    <t>• Clients discharging from St.  Joseph’s  inpatient unit and also clients coming from outside referral sources</t>
  </si>
  <si>
    <t>• Adults (ages 18 and above) who have a primary medical diagnosis with a co-occurring psychiatric diagnosis</t>
  </si>
  <si>
    <t>• Persons at risk of behavioral health crises that may result in incarceration</t>
  </si>
  <si>
    <t xml:space="preserve">• Youth with complex behavioral health needs such as serious mental illness or a combination of mental illness and intellectual developmental disabilities, substance abuse and physical health issues that are at risk of incarceration </t>
  </si>
  <si>
    <t>• Individuals with nondependent substance use.</t>
  </si>
  <si>
    <t xml:space="preserve">• Adults with complex behavioral health needs such as serious mental illness and a co-occurring intellectual developmental disability, substance abuse disorder and/ or physical health condition that are at risk of incarceration. </t>
  </si>
  <si>
    <t>• All behavioral patients from Harris County whose conditions are chronic and require individual case management to ensure their treatment is given in a suitable setting and manner</t>
  </si>
  <si>
    <t>• All women within the Houston community who can benefit from this project, specifically with reproductive mental health issues</t>
  </si>
  <si>
    <t>All patients discharged from St. Luke's Episcopal Hospital with congestive heart failure</t>
  </si>
  <si>
    <t>All patients with liver dysfunction or patients falling within the CDC recommended screening group</t>
  </si>
  <si>
    <t>•   Create an automated ambulatory central fill pharmacy to facilitate dispensing up to 10,000 prescriptions per shift with a 24 hour turnaround time and mail order capability.</t>
  </si>
  <si>
    <t xml:space="preserve">• Any patient in the region considering an ER visit. </t>
  </si>
  <si>
    <t xml:space="preserve">• Individuals with non-life threatening, mild or moderate illnesses who call 911. </t>
  </si>
  <si>
    <t xml:space="preserve">• Current and prospective clients of UT Health / UT Physicians  especially chronic disease patients (ex. COPD, heart failure, diabetes).   Expect to provide 400,000 visits/year by DY5.  </t>
  </si>
  <si>
    <t xml:space="preserve">• Patients admitted to OBMC. </t>
  </si>
  <si>
    <t>• Patients seeking care in the ED for primary care-treatable conditions may benefit from this project</t>
  </si>
  <si>
    <t>• Current and new employees of the Medical Center and all patients within  the system who will benefit from the project</t>
  </si>
  <si>
    <t>• Non-emergent patients who are currently using Rice’s ED</t>
  </si>
  <si>
    <t>• Older adults aged 60 and over</t>
  </si>
  <si>
    <t>• CHF patients ages 60 years or older at risk for hospital readmission</t>
  </si>
  <si>
    <t>• At risk vulnerable populations such as the homeless chronically ill, low income, refugee, and new immigration populations, indigent populations, and those without access to care or without a medical home who are routinely reported to the performing provider for active or latent TB</t>
  </si>
  <si>
    <t>• Individuals with diabetes or at risk for diabetes residing in an underserved area (Third Ward) of Houston</t>
  </si>
  <si>
    <t>• First-time mothers residing in areas of Houston with high rates of low birth weight babies and low rates of prenatal care</t>
  </si>
  <si>
    <t>• 50-75 year old men and women in twelve high risk zip codes</t>
  </si>
  <si>
    <t>• Patients in the service area with diabetes, hypertension, asthma, COPD, or CHF and of lower socioeconomic status.</t>
  </si>
  <si>
    <t>• People in the service area with diabetes, hypertension, asthma, COPD, or CHF</t>
  </si>
  <si>
    <t xml:space="preserve">• Patients admitted to adult ICU with high risk of death in or soon after hospitalization.   </t>
  </si>
  <si>
    <t>• Patients in the service area with diabetes, hypertension, asthma, COPD, or CHF</t>
  </si>
  <si>
    <t>• Indigent and Medicaid patients, aged 50 years and older, who, in accordance with the U.S. Preventive Services Task Force recommendations, qualify for CRC screening</t>
  </si>
  <si>
    <t>• Low income and under insured individuals with HIV/AIDS</t>
  </si>
  <si>
    <t>• Medicaid/ indigent youth in RHP 3 counties</t>
  </si>
  <si>
    <t>• Women ages 40 to 69 in the RHP 3 coverage area who are asymptomatic of breast cancer and who are uninsured, low income or Medicaid eligible</t>
  </si>
  <si>
    <t>• Adult medically underserved tobacco users within  4 FQHCs in Harris County</t>
  </si>
  <si>
    <t>• All patients discharged from St. Luke's Episcopal Hospital with congestive heart failure</t>
  </si>
  <si>
    <t>• All patients with liver dysfunction or patients falling within the CDC recommended screening group</t>
  </si>
  <si>
    <t xml:space="preserve">• Patients seeking care from the Oakbend Medical Center system, targeting patients identified with Medicaid, CHIP and self-pay and chronic disease(s).  </t>
  </si>
  <si>
    <t>• Patients who need postnatal care</t>
  </si>
  <si>
    <t>• All patients that seek their medical care through any of the OakBend Medical Center system entities, who will benefit from this and other projects targeting patients with chronic disease(s)</t>
  </si>
  <si>
    <t xml:space="preserve">• Chronic disease patients requiring specialty care and physician support for their disease state in Matagorda County and the surrounding areas. </t>
  </si>
  <si>
    <t>• All patients within the system may benefit from this project</t>
  </si>
  <si>
    <t>• Patients discharged on anticoagulation therapy</t>
  </si>
  <si>
    <t>• Patients with life-limiting or life threatening disease in the hospital clinic and at home</t>
  </si>
  <si>
    <t>• 1.) health care professionals and caregivers and 2.) patients that would normally seek end-of-life care in an acute setting</t>
  </si>
  <si>
    <t>• At-risk, low income, and Medicaid eligible/indigent participants within the HCPHES jurisdiction.</t>
  </si>
  <si>
    <t xml:space="preserve">• Patients in Harris County (outside the city of Houston), particularly homeless, low income, uninsured, refugee and/or immigrant patients, who are reported to or diagnosed by the HCPHES TB Program as having active TB disease or LTBI, as well as those suspected of having TB or those who are contacts to cases of TB. </t>
  </si>
  <si>
    <t>• All patients at Rice Medical Center</t>
  </si>
  <si>
    <t>• Chronically ill patients Rice and its clinics treat each year, the frequent flyers in Rice's ED, and patients with a history of PPAs and PPRs</t>
  </si>
  <si>
    <t>• Patients Rice currently treats in its hospital and local clinics diagnosed with Type I or Type II diabetes.  The secondary target population is patients in the community who are at risk or pre-diabetic</t>
  </si>
  <si>
    <t>• Underinsured, uninsured, and Medicaid patients who meet criteria for screening for colorectal cancer for colonoscopy</t>
  </si>
  <si>
    <t>• Women of reproductive age seeking OB/GYN services through HCA’s OB clinics in East Houston.</t>
  </si>
  <si>
    <t xml:space="preserve">• Uninsured/underinsured children &amp; teens who attend school in 77506 (Pasadena ISD), 77099 (Alief ISD) &amp; 77032 (Aldine ISD). </t>
  </si>
  <si>
    <t>• Patients who would benefit from seeking primary services at ambulatory center opposed to acute care facility.</t>
  </si>
  <si>
    <t>• Females ages 13-23 and males ages 13-25</t>
  </si>
  <si>
    <t xml:space="preserve">• Low income children (1-18yrs) and low income eligible perinatal women. </t>
  </si>
  <si>
    <t>• At risk seniors seen at public clinics and Federally Qualified Health Centers</t>
  </si>
  <si>
    <t xml:space="preserve">• Patients in need of primary care (reduce ED utilization).  </t>
  </si>
  <si>
    <t xml:space="preserve">• Residents with economic, cultural, and language barriers to receiving care in the service area. This contains areas designated as Medically Underserved Populations and Governor-Designated Medically Underserved Areas (MUA/Ps). </t>
  </si>
  <si>
    <t xml:space="preserve">• All patients within the greater Houston area and beyond; the immediate beneficiaries will be UTP Bayshore Clinic patients.  </t>
  </si>
  <si>
    <t xml:space="preserve">• The adult Hispanic population (18 years and older) in UTP's four service areas   </t>
  </si>
  <si>
    <t>• The number of people living below the FPL in the targeted 14 census tracts</t>
  </si>
  <si>
    <t xml:space="preserve">• Persons needing primary care in North Harris County.  The target population are those living in an area of Harris County that is between FM 1960 to the north, Cypress Creek Pkwy to the Northwest, Veteran’s Memorial Drive to the west, Aldine Mail Route to the south, and Highway 59N to the east. </t>
  </si>
  <si>
    <t xml:space="preserve">• Low-income women and minority populations with high rates of infant mortality, out-of-wedlock births, late or no prenatal care, teen pregnancies and births. </t>
  </si>
  <si>
    <t xml:space="preserve">• Patients with Medicaid, CHIP, and self-pay, and those with chronic disease.   </t>
  </si>
  <si>
    <t>• All patients within the primary service area (Matagorda County) may benefit from this project</t>
  </si>
  <si>
    <t xml:space="preserve">• </t>
  </si>
  <si>
    <t>• All current and potential adult patients within the system, specifically those in the zip code 77012.</t>
  </si>
  <si>
    <t>• Any patient seeking primary care within the system may benefit from this project</t>
  </si>
  <si>
    <t>• Any adult patient within the system who seeks dental care may benefit from this project</t>
  </si>
  <si>
    <t>• All current and potential patients seeking primary care services within the system may benefit</t>
  </si>
  <si>
    <t>• All current and potential medical home patients within the system.</t>
  </si>
  <si>
    <t>• All current and potential patients seeking primary care services within the system and at FQHCs</t>
  </si>
  <si>
    <t xml:space="preserve">• Any patient who is homebound or has extreme difficulties getting to clinic visits due to their health status. </t>
  </si>
  <si>
    <t xml:space="preserve">• Patients in the Houston Community including Downtown, Katy, the Inner Loop, Clear Lake, North and Northeast Houston.  </t>
  </si>
  <si>
    <t>• Medically underserved population of Calhoun County.  All patients within the system may benefit from this project, specifically those with chronic diseases.</t>
  </si>
  <si>
    <t>• All adolescent/young adults, age 17 and up who have a life threatening chronic childhood condition in Harris County</t>
  </si>
  <si>
    <t>• Female patients who reside within the East Bernard Clinic's service area and currently have very limited access to OB services in the community</t>
  </si>
  <si>
    <t>• Patients in Colorado County who have needs for specialty care but currently have difficulty accessing it</t>
  </si>
  <si>
    <t>• Medicaid/uninsured residents of Wallis, Texas and other patients within a ten-mile radius who have no local primary care services</t>
  </si>
  <si>
    <t>• Children, adults and seniors in need of primary care services especially the indigent or uninsured</t>
  </si>
  <si>
    <t>• Uninsured, underinsured and Medicaid covered individuals who do not access primary care and use emergency services in lieu of a medical home</t>
  </si>
  <si>
    <t>• Uninsured  and Medicaid-enrolled individuals without a medical home</t>
  </si>
  <si>
    <t xml:space="preserve">• Patients who need to access specialty care in the UTHealth network.  The target population includes: 1) those living in an area of Harris County that is between FM 1960 to the north, Cypress Creek Pkwy to the Northwest, Veteran’s Memorial Drive to the west, Aldine Mail Route to the south, and Highway 59N to the east and 2) those living in an area of Harris County that is between Halls Bayou to the north, Beltway 8 to the west, I-10W to the south, and the Hardy Toll Road to the east </t>
  </si>
  <si>
    <t xml:space="preserve">• Patients residing within the defined service areas of the UT Physician Clinics. </t>
  </si>
  <si>
    <t>• Patients with lack of access to primary care, care coordination, and lack of educational promotion</t>
  </si>
  <si>
    <t>• Patients in need of specialty care services</t>
  </si>
  <si>
    <t xml:space="preserve">• Any patient appropriate for outpatient physical and/or occupational therapy within the system may benefit from this project </t>
  </si>
  <si>
    <t>• All patients within the system may benefit from this project, with a focus on those referred to diabetes and rheumatologic clinics</t>
  </si>
  <si>
    <t>• Patients needing medication consults after hours</t>
  </si>
  <si>
    <t xml:space="preserve">• Pediatric neurology patients at Texas Children's Hospital.  </t>
  </si>
  <si>
    <t>• Children with suspected motor, cognitive, language, and/or social-emotional developmental delays, children with suspected developmental disabilities, and children at risk for developmental-behavioral disorders</t>
  </si>
  <si>
    <t>• Pediatric patients seeking the full spectrum of services from general allergy and immunology care to specialized treatment for severe combined immunodeficiency disorder and patients that are at risk for anaphylaxis. One area of focus is the diagnosis and care management of food allergies in the pediatric population</t>
  </si>
  <si>
    <t>• Pediatric patients who need otolaryngology care</t>
  </si>
  <si>
    <t xml:space="preserve">• Pediatric patients needing treatment and surgical correction of cleft lip and palate anomalies amongst other diagnoses.  </t>
  </si>
  <si>
    <t>• Pediatric neurosurgery patients</t>
  </si>
  <si>
    <t>• Pediatric patients with simple to high complex acute or chronic orthpedic problems</t>
  </si>
  <si>
    <t>• Pediatric blood disorder and cancer patients</t>
  </si>
  <si>
    <t>• Pediatric rheumatology patients</t>
  </si>
  <si>
    <t>• Children with congenital heart disease ranging from neonate all the way through adulthood</t>
  </si>
  <si>
    <t>• Pediatric pulmonology patients in RHP3, in particular in north Houston community health centers, with a focus on medically underserved patients and highly-specialized pulmonology patients</t>
  </si>
  <si>
    <t>• Pediatric ophthalmology patients</t>
  </si>
  <si>
    <t>• Patients seeking the full spectrum of services from general digestive and liver care to quaternary programs from Inflammatory Bowel Disease, Intestinal Rehabilitation, Neurogastroenterology and Motility, Viral Hepatitis, Eosinophilic Gastrointestinal Disorders, and Hepatobiliary Disease</t>
  </si>
  <si>
    <t>• Patients seeking the full spectrum of services for metabolic syndrome, type I and type II diabetes.   In particular, the focus is on patients who are at risk for diabetic retinopathy</t>
  </si>
  <si>
    <t>• All patients within the system who are suspected victims of child maltreatment</t>
  </si>
  <si>
    <t xml:space="preserve"> • Children (18 and under) and adults without a medical home</t>
  </si>
  <si>
    <t>• Ex-offenders in the Houston, Harris County area, 18 – 70 years of age with co-occurring mental health, substance use and chronic health conditions.</t>
  </si>
  <si>
    <t>• All individualswho utilize the ER for non-emergent, primary care needs and are transported by ambulance to the ER, will benefit from this project.</t>
  </si>
  <si>
    <t xml:space="preserve">• Newly diagnosed HIV patients, emphasis on high risk groups such as males, African Americans and injection drug users </t>
  </si>
  <si>
    <t>• Geriatric patients in the community &amp; surrounding areas, particularly patients who are currently unable to access care effectively</t>
  </si>
  <si>
    <t xml:space="preserve">• All high risk youth Medicaid and low-income clients. </t>
  </si>
  <si>
    <t xml:space="preserve">• Patients that enter Memorial Hermann Hospital-TMC through the ED.  </t>
  </si>
  <si>
    <t>• Cancer surgery patients, indigent patients with type 1 diabetes, and children/adolescents with type 1 diabetes who are graduating to adult diabetes management</t>
  </si>
  <si>
    <t>• Patients with CHF, Diabetes, and COPD</t>
  </si>
  <si>
    <t>• All patients within the system specifically those with no primary care home</t>
  </si>
  <si>
    <t>• Continuous rolling cohort of the top 100 ER frequenters.</t>
  </si>
  <si>
    <t>• Prenatal care patients across the county and within the Harris Health System, targeting those with risk factors and who reside in zip codes with the poorest prenatal outcomes</t>
  </si>
  <si>
    <t>• Uninsured patients who access the ER for primary care purposes</t>
  </si>
  <si>
    <t xml:space="preserve">• All patients of UT Health network (QI initiative focused on reporting, sharing and analyzing data).  </t>
  </si>
  <si>
    <t>• Oakbend medical center  staff (directly), Oakbend medical center patients (indirectly)</t>
  </si>
  <si>
    <t>• Full and part time employees of the El Campo Memorial Hospital and the patients they serve</t>
  </si>
  <si>
    <t>• The center will target Hospital acquired Venous Thrombembolism (VTE) as the initial project, which will affect over 1,000 inpatients.</t>
  </si>
  <si>
    <t>• Patients receiving pharmaceuticals from Harris Health System</t>
  </si>
  <si>
    <t>• All patients within the system may benefit from this system</t>
  </si>
  <si>
    <t>Cat 3 Target Incentive Payment Value for DY4</t>
  </si>
  <si>
    <t>Cat 3 Actual Incentive Payment Value for DY4</t>
  </si>
  <si>
    <t>-</t>
  </si>
  <si>
    <t>127300503.3.1</t>
  </si>
  <si>
    <t>Cat 3 Carryforward Value for DY4</t>
  </si>
  <si>
    <t>CM</t>
  </si>
  <si>
    <t>PW</t>
  </si>
  <si>
    <t xml:space="preserve">% </t>
  </si>
  <si>
    <t>Actual Payments ($)</t>
  </si>
  <si>
    <t>Actual payments (%)</t>
  </si>
  <si>
    <t>Target Payment</t>
  </si>
  <si>
    <t>DY4 Carryforwards</t>
  </si>
  <si>
    <t>% DY4 CF</t>
  </si>
  <si>
    <t>DY3 Ca</t>
  </si>
  <si>
    <t>DY3 CFs</t>
  </si>
  <si>
    <t>% DY3 CFs</t>
  </si>
  <si>
    <t>Cat 3 Actual Payments (Col AP)</t>
  </si>
  <si>
    <t>% DY3 Actual</t>
  </si>
  <si>
    <t>Cat 3 Carryforward Value for DY3</t>
  </si>
  <si>
    <t>ü</t>
  </si>
  <si>
    <t>Email dated 03/20/16 3:40 pm: some projects (3) acquired more than the target amount</t>
  </si>
  <si>
    <t>Email dated 03/20/16 3:40 pm: some projects (3) acquired more than the target</t>
  </si>
  <si>
    <t>(Decimal rounding on a few projects)</t>
  </si>
  <si>
    <t>DY3 Carryforwards</t>
  </si>
  <si>
    <t>% DY3 CF</t>
  </si>
  <si>
    <t>DY3 Calculations
4/2/2016</t>
  </si>
  <si>
    <t>DY4 Calculations</t>
  </si>
  <si>
    <t>DY3 QPI Target</t>
  </si>
  <si>
    <t xml:space="preserve">DY4 QPI Target </t>
  </si>
  <si>
    <t>DY5 QPI Target</t>
  </si>
  <si>
    <t xml:space="preserve">DY3-5 Total QPI Target </t>
  </si>
  <si>
    <t>DY3 QPI Achieved</t>
  </si>
  <si>
    <t>DY4 QPI Achieved</t>
  </si>
  <si>
    <t>Pre-DSRIP Baseline 1</t>
  </si>
  <si>
    <t>Prevention and Wellness</t>
  </si>
  <si>
    <t>DY3-4 Total QPI Goal Achieved for Individuals</t>
  </si>
  <si>
    <t>DY3-4 Total QPI Goal Achieved for Encounters</t>
  </si>
  <si>
    <t xml:space="preserve">% Increase over Baseline for Individuals </t>
  </si>
  <si>
    <t>% Increase over Baseline for Encounters</t>
  </si>
  <si>
    <t>% DY3-4 QPI Goal Achieved for Individuals</t>
  </si>
  <si>
    <t>Pre-DSRIP Baseline for Individuals</t>
  </si>
  <si>
    <t>Pre-DSRIP Baseline for  Encounters</t>
  </si>
  <si>
    <t>% DY3-4 QPI Goal Achieved for Encounters</t>
  </si>
  <si>
    <t xml:space="preserve">           QPI Measure Type
Project Category</t>
  </si>
  <si>
    <t>DY3 Combined Total Goal (% Medicaid and Low-Income Uninsured)</t>
  </si>
  <si>
    <t>DY3 Combined Total Actual (% Medicaid and Low-Income Uninsured)</t>
  </si>
  <si>
    <t>DY4 Combined Total Goal (% Medicaid and Low-Income Uninsured)</t>
  </si>
  <si>
    <t>DY4 Combined Total Actual (% Medicaid and Low-Income Uninsured)</t>
  </si>
  <si>
    <t>NA</t>
  </si>
  <si>
    <t>DY3-4 Total QPI Target for Individuals</t>
  </si>
  <si>
    <t>DY3-4 Total QPI Target for Encounters</t>
  </si>
  <si>
    <t>DY3-5 Total Target for Individuals</t>
  </si>
  <si>
    <t>DY3-5 Total Target for Encounters</t>
  </si>
  <si>
    <t>% DY3 and DY4 MLIU QPI Target for Individuals</t>
  </si>
  <si>
    <t>DY3 and DY4 MLIU QPI Target for Individuals</t>
  </si>
  <si>
    <t>DY3 and DY4 MLIU QPI Target for Encounters</t>
  </si>
  <si>
    <t>% DY3 and DY4 MLIU QPI Target for Encounters</t>
  </si>
  <si>
    <t>DY3 and DY4 MLIU QPI Goal Achieved for Individuals</t>
  </si>
  <si>
    <t>DY3 and DY4 MLIU QPI Goal Achieved for Encounters</t>
  </si>
  <si>
    <t>DY3-4 Total QPI Target</t>
  </si>
  <si>
    <t>DY3 Target MLIU * DY3 QPI Achieved</t>
  </si>
  <si>
    <t xml:space="preserve">DY3 Actual MLIU * DY3 QPI Achieved </t>
  </si>
  <si>
    <t>DY4 Target MLIU * DY4 QPI Achieved</t>
  </si>
  <si>
    <t>DY4 Actual MLIU * DY4 QPI Achieved</t>
  </si>
  <si>
    <t>DY3 Target MLIU + DY4 Target MLIU</t>
  </si>
  <si>
    <t>DY3 Actual MLIU + DY4 Actual MLIU</t>
  </si>
  <si>
    <t>DY3-4 Total QPI Goal Achieved</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</si>
</sst>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000"/>
    <numFmt numFmtId="166" formatCode="&quot;$&quot;#,##0.00"/>
    <numFmt numFmtId="167" formatCode="_(* #,##0_);_(* \(#,##0\);_(* &quot;-&quot;??_);_(@_)"/>
    <numFmt numFmtId="168" formatCode="&quot;$&quot;#,##0"/>
    <numFmt numFmtId="169" formatCode="_(&quot;$&quot;* #,##0.0_);_(&quot;$&quot;* \(#,##0.0\);_(&quot;$&quot;* &quot;-&quot;??_);_(@_)"/>
    <numFmt numFmtId="170" formatCode="0.0"/>
    <numFmt numFmtId="171" formatCode="_(* #,##0.0_);_(* \(#,##0.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Tahoma"/>
      <family val="2"/>
    </font>
    <font>
      <b/>
      <sz val="12"/>
      <name val="Tahoma"/>
      <family val="2"/>
    </font>
    <font>
      <sz val="12"/>
      <color theme="1"/>
      <name val="Tahoma"/>
      <family val="2"/>
    </font>
    <font>
      <sz val="12"/>
      <name val="Tahoma"/>
      <family val="2"/>
    </font>
    <font>
      <sz val="12"/>
      <color rgb="FF000000"/>
      <name val="Tahoma"/>
      <family val="2"/>
    </font>
    <font>
      <b/>
      <sz val="12"/>
      <color theme="1"/>
      <name val="Calibri"/>
      <family val="2"/>
      <scheme val="minor"/>
    </font>
    <font>
      <i/>
      <sz val="12"/>
      <color theme="1"/>
      <name val="Tahoma"/>
      <family val="2"/>
    </font>
    <font>
      <b/>
      <sz val="11"/>
      <name val="Calibri"/>
      <family val="2"/>
      <scheme val="minor"/>
    </font>
    <font>
      <sz val="11"/>
      <color rgb="FF000000"/>
      <name val="Calibri"/>
      <family val="2"/>
      <scheme val="minor"/>
    </font>
    <font>
      <sz val="11"/>
      <color indexed="8"/>
      <name val="Calibri"/>
      <family val="2"/>
    </font>
    <font>
      <sz val="12"/>
      <color theme="1"/>
      <name val="Wingdings"/>
      <charset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s>
  <borders count="7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9" fontId="1" fillId="0" borderId="0" applyFont="0" applyFill="0" applyBorder="0" applyAlignment="0" applyProtection="0"/>
  </cellStyleXfs>
  <cellXfs count="925">
    <xf numFmtId="0" fontId="0" fillId="0" borderId="0" xfId="0"/>
    <xf numFmtId="0" fontId="5" fillId="0" borderId="5" xfId="0" applyFont="1" applyBorder="1" applyAlignment="1">
      <alignment horizontal="left" vertical="top"/>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8" xfId="0" applyFont="1" applyBorder="1" applyAlignment="1">
      <alignment vertical="top" wrapText="1"/>
    </xf>
    <xf numFmtId="0" fontId="6" fillId="0" borderId="8" xfId="0" applyFont="1" applyFill="1" applyBorder="1" applyAlignment="1">
      <alignment horizontal="left" vertical="top" wrapText="1"/>
    </xf>
    <xf numFmtId="0" fontId="5" fillId="0" borderId="8" xfId="0" applyNumberFormat="1" applyFont="1" applyFill="1" applyBorder="1" applyAlignment="1">
      <alignment horizontal="left" vertical="top" wrapText="1"/>
    </xf>
    <xf numFmtId="0" fontId="5" fillId="0" borderId="7" xfId="0" applyFont="1" applyBorder="1" applyAlignment="1">
      <alignment horizontal="left" vertical="top" wrapText="1"/>
    </xf>
    <xf numFmtId="166" fontId="5" fillId="0" borderId="8" xfId="2" applyNumberFormat="1" applyFont="1" applyBorder="1" applyAlignment="1">
      <alignment horizontal="right" vertical="top"/>
    </xf>
    <xf numFmtId="166" fontId="5" fillId="0" borderId="8" xfId="0" applyNumberFormat="1" applyFont="1" applyBorder="1" applyAlignment="1">
      <alignment horizontal="right" vertical="top"/>
    </xf>
    <xf numFmtId="0" fontId="5" fillId="0" borderId="0" xfId="0" applyFont="1" applyAlignment="1">
      <alignment horizontal="left" vertical="top"/>
    </xf>
    <xf numFmtId="0" fontId="5" fillId="0" borderId="0" xfId="0" applyFont="1" applyBorder="1" applyAlignment="1">
      <alignment horizontal="left" vertical="top"/>
    </xf>
    <xf numFmtId="0" fontId="5" fillId="0" borderId="8" xfId="0" applyFont="1" applyBorder="1" applyAlignment="1">
      <alignment horizontal="left" vertical="top" wrapText="1"/>
    </xf>
    <xf numFmtId="0" fontId="5" fillId="0" borderId="8" xfId="0" applyFont="1" applyFill="1" applyBorder="1" applyAlignment="1">
      <alignment vertical="top" wrapText="1"/>
    </xf>
    <xf numFmtId="2" fontId="5" fillId="0" borderId="8" xfId="0" applyNumberFormat="1" applyFont="1" applyFill="1" applyBorder="1" applyAlignment="1">
      <alignment horizontal="left" vertical="top" wrapText="1"/>
    </xf>
    <xf numFmtId="165" fontId="5" fillId="0" borderId="8" xfId="0" applyNumberFormat="1" applyFont="1" applyFill="1" applyBorder="1" applyAlignment="1">
      <alignment horizontal="left" vertical="top" wrapText="1"/>
    </xf>
    <xf numFmtId="0" fontId="5" fillId="0" borderId="6" xfId="0" applyFont="1" applyBorder="1" applyAlignment="1">
      <alignment horizontal="left" vertical="top" wrapText="1"/>
    </xf>
    <xf numFmtId="0" fontId="6" fillId="0" borderId="8" xfId="0" applyFont="1" applyBorder="1" applyAlignment="1">
      <alignment horizontal="left" vertical="top" wrapText="1"/>
    </xf>
    <xf numFmtId="0" fontId="5" fillId="0" borderId="6" xfId="0" applyFont="1" applyBorder="1" applyAlignment="1">
      <alignment vertical="top" wrapText="1"/>
    </xf>
    <xf numFmtId="0" fontId="5" fillId="0" borderId="0" xfId="0" applyFont="1" applyBorder="1" applyAlignment="1">
      <alignment horizontal="left" vertical="top" wrapText="1"/>
    </xf>
    <xf numFmtId="14" fontId="5" fillId="0" borderId="8" xfId="0" applyNumberFormat="1" applyFont="1" applyFill="1" applyBorder="1" applyAlignment="1">
      <alignment horizontal="left" vertical="top" wrapText="1"/>
    </xf>
    <xf numFmtId="0" fontId="5" fillId="0" borderId="8" xfId="0" applyFont="1" applyBorder="1" applyAlignment="1">
      <alignment horizontal="left" vertical="top"/>
    </xf>
    <xf numFmtId="166" fontId="5" fillId="0" borderId="8" xfId="2" applyNumberFormat="1" applyFont="1" applyBorder="1" applyAlignment="1">
      <alignment horizontal="right" vertical="top" wrapText="1"/>
    </xf>
    <xf numFmtId="166" fontId="5" fillId="0" borderId="8" xfId="0" applyNumberFormat="1" applyFont="1" applyBorder="1" applyAlignment="1">
      <alignment horizontal="right" vertical="top" wrapText="1"/>
    </xf>
    <xf numFmtId="0" fontId="5" fillId="0" borderId="0" xfId="0" applyFont="1" applyAlignment="1">
      <alignment horizontal="left" vertical="top" wrapText="1"/>
    </xf>
    <xf numFmtId="2" fontId="5" fillId="0" borderId="8" xfId="0" applyNumberFormat="1" applyFont="1" applyBorder="1" applyAlignment="1">
      <alignment horizontal="left" vertical="top"/>
    </xf>
    <xf numFmtId="0" fontId="5" fillId="0" borderId="7" xfId="0" applyFont="1" applyBorder="1" applyAlignment="1">
      <alignment horizontal="left" vertical="top"/>
    </xf>
    <xf numFmtId="0" fontId="5" fillId="0" borderId="8" xfId="0" applyNumberFormat="1" applyFont="1" applyBorder="1" applyAlignment="1">
      <alignment horizontal="left" vertical="top" wrapText="1"/>
    </xf>
    <xf numFmtId="2" fontId="5" fillId="0" borderId="8" xfId="0" applyNumberFormat="1" applyFont="1" applyBorder="1" applyAlignment="1">
      <alignment horizontal="left" vertical="top" wrapText="1"/>
    </xf>
    <xf numFmtId="0" fontId="6" fillId="0" borderId="6" xfId="0" applyFont="1" applyBorder="1" applyAlignment="1">
      <alignment horizontal="left" vertical="top" wrapText="1"/>
    </xf>
    <xf numFmtId="166" fontId="5" fillId="0" borderId="8" xfId="2" applyNumberFormat="1" applyFont="1" applyBorder="1" applyAlignment="1">
      <alignment vertical="top"/>
    </xf>
    <xf numFmtId="0" fontId="5" fillId="0" borderId="10" xfId="0" applyFont="1" applyBorder="1" applyAlignment="1">
      <alignment horizontal="left" vertical="top"/>
    </xf>
    <xf numFmtId="0" fontId="5" fillId="0" borderId="6" xfId="0" applyFont="1" applyBorder="1" applyAlignment="1">
      <alignment horizontal="left" vertical="top"/>
    </xf>
    <xf numFmtId="0" fontId="5" fillId="0" borderId="8" xfId="0" applyFont="1" applyFill="1" applyBorder="1" applyAlignment="1">
      <alignment horizontal="left" vertical="top"/>
    </xf>
    <xf numFmtId="0" fontId="5" fillId="0" borderId="5" xfId="0" applyFont="1" applyFill="1" applyBorder="1" applyAlignment="1">
      <alignment horizontal="left" vertical="top"/>
    </xf>
    <xf numFmtId="166" fontId="5" fillId="0" borderId="6" xfId="2" applyNumberFormat="1" applyFont="1" applyBorder="1" applyAlignment="1">
      <alignment vertical="top"/>
    </xf>
    <xf numFmtId="166" fontId="5" fillId="0" borderId="6" xfId="0" applyNumberFormat="1" applyFont="1" applyBorder="1" applyAlignment="1">
      <alignment horizontal="right" vertical="top"/>
    </xf>
    <xf numFmtId="0" fontId="6" fillId="0" borderId="8" xfId="0" applyNumberFormat="1" applyFont="1" applyFill="1" applyBorder="1" applyAlignment="1">
      <alignment horizontal="left" vertical="top" wrapText="1"/>
    </xf>
    <xf numFmtId="0" fontId="7" fillId="0" borderId="8" xfId="0" applyNumberFormat="1" applyFont="1" applyFill="1" applyBorder="1" applyAlignment="1">
      <alignment horizontal="left" vertical="top" wrapText="1"/>
    </xf>
    <xf numFmtId="0" fontId="5" fillId="0" borderId="8" xfId="0" applyFont="1" applyBorder="1" applyAlignment="1">
      <alignment vertical="top"/>
    </xf>
    <xf numFmtId="1" fontId="5" fillId="0" borderId="8" xfId="0" applyNumberFormat="1"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Fill="1" applyBorder="1" applyAlignment="1">
      <alignment horizontal="left" vertical="top" wrapText="1"/>
    </xf>
    <xf numFmtId="0" fontId="0" fillId="0" borderId="0" xfId="0" applyBorder="1"/>
    <xf numFmtId="0" fontId="5" fillId="0" borderId="18" xfId="0" applyFont="1" applyFill="1" applyBorder="1" applyAlignment="1">
      <alignment horizontal="left" vertical="top" wrapText="1"/>
    </xf>
    <xf numFmtId="2" fontId="5" fillId="0" borderId="18" xfId="0" applyNumberFormat="1" applyFont="1" applyFill="1" applyBorder="1" applyAlignment="1">
      <alignment horizontal="left" vertical="top" wrapText="1"/>
    </xf>
    <xf numFmtId="0" fontId="5" fillId="0" borderId="18" xfId="0" applyNumberFormat="1" applyFont="1" applyFill="1" applyBorder="1" applyAlignment="1">
      <alignment horizontal="left" vertical="top" wrapText="1"/>
    </xf>
    <xf numFmtId="44" fontId="6" fillId="0" borderId="6" xfId="2" applyNumberFormat="1" applyFont="1" applyBorder="1" applyAlignment="1">
      <alignment horizontal="left" vertical="top" wrapText="1"/>
    </xf>
    <xf numFmtId="44" fontId="5" fillId="0" borderId="6" xfId="0" applyNumberFormat="1" applyFont="1" applyBorder="1" applyAlignment="1">
      <alignment horizontal="left" vertical="top" wrapText="1"/>
    </xf>
    <xf numFmtId="44" fontId="5" fillId="0" borderId="8" xfId="0" applyNumberFormat="1" applyFont="1" applyBorder="1" applyAlignment="1">
      <alignment horizontal="left" vertical="top" wrapText="1"/>
    </xf>
    <xf numFmtId="0" fontId="5" fillId="0" borderId="18" xfId="0" applyFont="1" applyBorder="1" applyAlignment="1">
      <alignment vertical="top" wrapText="1"/>
    </xf>
    <xf numFmtId="165" fontId="5" fillId="0" borderId="18" xfId="0" applyNumberFormat="1" applyFont="1" applyFill="1" applyBorder="1" applyAlignment="1">
      <alignment horizontal="left" vertical="top" wrapText="1"/>
    </xf>
    <xf numFmtId="3" fontId="5" fillId="0" borderId="8" xfId="0" applyNumberFormat="1" applyFont="1" applyBorder="1" applyAlignment="1">
      <alignment horizontal="left" vertical="top" wrapText="1"/>
    </xf>
    <xf numFmtId="44" fontId="6" fillId="0" borderId="6" xfId="2" applyNumberFormat="1" applyFont="1" applyFill="1" applyBorder="1" applyAlignment="1">
      <alignment horizontal="left" vertical="top" wrapText="1"/>
    </xf>
    <xf numFmtId="44" fontId="6" fillId="0" borderId="6" xfId="2" applyNumberFormat="1" applyFont="1" applyFill="1" applyBorder="1" applyAlignment="1">
      <alignment horizontal="left" vertical="top"/>
    </xf>
    <xf numFmtId="0" fontId="3" fillId="2" borderId="8" xfId="0" applyFont="1" applyFill="1" applyBorder="1" applyAlignment="1">
      <alignment horizontal="center" vertical="center" wrapText="1"/>
    </xf>
    <xf numFmtId="49" fontId="5" fillId="0" borderId="6" xfId="0" applyNumberFormat="1" applyFont="1" applyFill="1" applyBorder="1" applyAlignment="1">
      <alignment horizontal="left" vertical="top" wrapText="1"/>
    </xf>
    <xf numFmtId="49" fontId="5" fillId="0" borderId="6" xfId="0" applyNumberFormat="1" applyFont="1" applyBorder="1" applyAlignment="1">
      <alignment horizontal="left" vertical="top" wrapText="1"/>
    </xf>
    <xf numFmtId="0" fontId="6" fillId="0" borderId="6" xfId="0" applyFont="1" applyFill="1" applyBorder="1" applyAlignment="1">
      <alignment horizontal="left" vertical="top" wrapText="1"/>
    </xf>
    <xf numFmtId="0" fontId="5" fillId="0" borderId="18" xfId="0" applyFont="1" applyBorder="1" applyAlignment="1">
      <alignment horizontal="left" vertical="top" wrapText="1"/>
    </xf>
    <xf numFmtId="44" fontId="6" fillId="0" borderId="8" xfId="2" applyNumberFormat="1" applyFont="1" applyBorder="1" applyAlignment="1">
      <alignment horizontal="left" vertical="top"/>
    </xf>
    <xf numFmtId="44" fontId="6" fillId="0" borderId="8" xfId="0" applyNumberFormat="1" applyFont="1" applyBorder="1" applyAlignment="1">
      <alignment horizontal="right" vertical="top" wrapText="1"/>
    </xf>
    <xf numFmtId="44" fontId="5" fillId="0" borderId="6" xfId="0" applyNumberFormat="1" applyFont="1" applyBorder="1" applyAlignment="1">
      <alignment horizontal="right" vertical="top"/>
    </xf>
    <xf numFmtId="3" fontId="5" fillId="0" borderId="6" xfId="0" applyNumberFormat="1" applyFont="1" applyBorder="1" applyAlignment="1">
      <alignment horizontal="left" vertical="top" wrapText="1"/>
    </xf>
    <xf numFmtId="3" fontId="5" fillId="0" borderId="18" xfId="0" applyNumberFormat="1" applyFont="1" applyBorder="1" applyAlignment="1">
      <alignment horizontal="left" vertical="top" wrapText="1"/>
    </xf>
    <xf numFmtId="44" fontId="6" fillId="0" borderId="8" xfId="2" applyNumberFormat="1" applyFont="1" applyFill="1" applyBorder="1" applyAlignment="1">
      <alignment horizontal="left" vertical="top"/>
    </xf>
    <xf numFmtId="0" fontId="5" fillId="0" borderId="18" xfId="0" applyNumberFormat="1" applyFont="1" applyBorder="1" applyAlignment="1">
      <alignment horizontal="left" vertical="top" wrapText="1"/>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164" fontId="0" fillId="0" borderId="0" xfId="0" applyNumberFormat="1"/>
    <xf numFmtId="0" fontId="5" fillId="0" borderId="8" xfId="0" applyFont="1" applyBorder="1" applyAlignment="1">
      <alignment horizontal="right" vertical="top" wrapText="1"/>
    </xf>
    <xf numFmtId="3" fontId="5" fillId="0" borderId="8" xfId="0" applyNumberFormat="1" applyFont="1" applyBorder="1" applyAlignment="1">
      <alignment horizontal="right" vertical="top" wrapText="1"/>
    </xf>
    <xf numFmtId="44" fontId="5" fillId="0" borderId="8" xfId="2" applyNumberFormat="1" applyFont="1" applyBorder="1" applyAlignment="1">
      <alignment vertical="top" wrapText="1"/>
    </xf>
    <xf numFmtId="44" fontId="5" fillId="0" borderId="6" xfId="0" applyNumberFormat="1" applyFont="1" applyBorder="1" applyAlignment="1">
      <alignment horizontal="left" vertical="top"/>
    </xf>
    <xf numFmtId="0" fontId="5" fillId="0" borderId="8" xfId="0" applyFont="1" applyFill="1" applyBorder="1" applyAlignment="1">
      <alignment horizontal="right" vertical="top" wrapText="1"/>
    </xf>
    <xf numFmtId="1" fontId="5" fillId="0" borderId="8" xfId="3" applyNumberFormat="1" applyFont="1" applyBorder="1" applyAlignment="1">
      <alignment horizontal="right" vertical="top" wrapText="1"/>
    </xf>
    <xf numFmtId="1" fontId="5" fillId="0" borderId="8" xfId="0" applyNumberFormat="1" applyFont="1" applyBorder="1" applyAlignment="1">
      <alignment horizontal="right" vertical="top" wrapText="1"/>
    </xf>
    <xf numFmtId="44" fontId="5" fillId="0" borderId="8" xfId="0" applyNumberFormat="1" applyFont="1" applyBorder="1" applyAlignment="1">
      <alignment horizontal="right" vertical="top"/>
    </xf>
    <xf numFmtId="0" fontId="5" fillId="0" borderId="0" xfId="0" applyFont="1"/>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26" xfId="0" applyBorder="1"/>
    <xf numFmtId="0" fontId="0" fillId="0" borderId="27" xfId="0" applyBorder="1" applyAlignment="1">
      <alignment horizontal="right"/>
    </xf>
    <xf numFmtId="0" fontId="0" fillId="0" borderId="19" xfId="0" applyBorder="1"/>
    <xf numFmtId="0" fontId="0" fillId="0" borderId="20" xfId="0" applyBorder="1" applyAlignment="1">
      <alignment horizontal="right"/>
    </xf>
    <xf numFmtId="168" fontId="0" fillId="0" borderId="20" xfId="0" applyNumberFormat="1" applyBorder="1" applyAlignment="1">
      <alignment horizontal="right"/>
    </xf>
    <xf numFmtId="167" fontId="0" fillId="0" borderId="20" xfId="1" applyNumberFormat="1" applyFont="1" applyBorder="1" applyAlignment="1">
      <alignment horizontal="right"/>
    </xf>
    <xf numFmtId="167" fontId="0" fillId="0" borderId="21" xfId="1" applyNumberFormat="1" applyFont="1" applyBorder="1" applyAlignment="1">
      <alignment horizontal="right"/>
    </xf>
    <xf numFmtId="168" fontId="0" fillId="0" borderId="20" xfId="2" applyNumberFormat="1" applyFont="1" applyBorder="1" applyAlignment="1">
      <alignment horizontal="right"/>
    </xf>
    <xf numFmtId="0" fontId="0" fillId="0" borderId="19" xfId="0" applyBorder="1" applyAlignment="1">
      <alignment wrapText="1"/>
    </xf>
    <xf numFmtId="0" fontId="2" fillId="2" borderId="5" xfId="0" applyFont="1" applyFill="1" applyBorder="1" applyAlignment="1">
      <alignment horizontal="right"/>
    </xf>
    <xf numFmtId="0" fontId="2" fillId="2" borderId="8" xfId="0" applyFont="1" applyFill="1" applyBorder="1" applyAlignment="1">
      <alignment horizontal="right"/>
    </xf>
    <xf numFmtId="167" fontId="2" fillId="2" borderId="8" xfId="1" applyNumberFormat="1" applyFont="1" applyFill="1" applyBorder="1" applyAlignment="1">
      <alignment horizontal="right"/>
    </xf>
    <xf numFmtId="167" fontId="2" fillId="2" borderId="9" xfId="1" applyNumberFormat="1" applyFont="1" applyFill="1" applyBorder="1" applyAlignment="1">
      <alignment horizontal="right"/>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3" xfId="0" applyFont="1" applyFill="1" applyBorder="1" applyAlignment="1">
      <alignment horizontal="center" vertical="center"/>
    </xf>
    <xf numFmtId="0" fontId="0" fillId="0" borderId="22" xfId="0" applyBorder="1"/>
    <xf numFmtId="0" fontId="0" fillId="0" borderId="49" xfId="0" applyBorder="1"/>
    <xf numFmtId="0" fontId="2" fillId="4" borderId="5" xfId="0" applyFont="1" applyFill="1" applyBorder="1" applyAlignment="1">
      <alignment horizontal="right"/>
    </xf>
    <xf numFmtId="0" fontId="2" fillId="2" borderId="6" xfId="0" applyFont="1" applyFill="1" applyBorder="1" applyAlignment="1">
      <alignment horizontal="left" wrapText="1"/>
    </xf>
    <xf numFmtId="0" fontId="2" fillId="2" borderId="8" xfId="0" applyFont="1" applyFill="1" applyBorder="1" applyAlignment="1">
      <alignment horizontal="left" wrapText="1"/>
    </xf>
    <xf numFmtId="0" fontId="2" fillId="2" borderId="31" xfId="0" applyFont="1" applyFill="1" applyBorder="1" applyAlignment="1">
      <alignment horizontal="center" wrapText="1"/>
    </xf>
    <xf numFmtId="0" fontId="0" fillId="0" borderId="53" xfId="0" applyBorder="1" applyAlignment="1">
      <alignment horizontal="right"/>
    </xf>
    <xf numFmtId="0" fontId="0" fillId="0" borderId="32" xfId="0" applyBorder="1" applyAlignment="1">
      <alignment horizontal="right"/>
    </xf>
    <xf numFmtId="0" fontId="0" fillId="0" borderId="33" xfId="0" applyBorder="1" applyAlignment="1">
      <alignment horizontal="right"/>
    </xf>
    <xf numFmtId="168" fontId="0" fillId="0" borderId="24" xfId="0" applyNumberFormat="1" applyBorder="1" applyAlignment="1">
      <alignment horizontal="right"/>
    </xf>
    <xf numFmtId="0" fontId="0" fillId="0" borderId="23" xfId="0" applyBorder="1" applyAlignment="1">
      <alignment horizontal="right"/>
    </xf>
    <xf numFmtId="0" fontId="0" fillId="0" borderId="34" xfId="0" applyBorder="1" applyAlignment="1">
      <alignment horizontal="right"/>
    </xf>
    <xf numFmtId="168" fontId="0" fillId="0" borderId="33" xfId="0" applyNumberFormat="1" applyBorder="1" applyAlignment="1">
      <alignment horizontal="right"/>
    </xf>
    <xf numFmtId="0" fontId="0" fillId="0" borderId="45" xfId="0" applyBorder="1" applyAlignment="1">
      <alignment horizontal="right"/>
    </xf>
    <xf numFmtId="168" fontId="0" fillId="0" borderId="45" xfId="2" applyNumberFormat="1" applyFont="1" applyBorder="1" applyAlignment="1">
      <alignment horizontal="right"/>
    </xf>
    <xf numFmtId="1" fontId="2" fillId="2" borderId="2" xfId="0" applyNumberFormat="1" applyFont="1" applyFill="1" applyBorder="1"/>
    <xf numFmtId="1" fontId="2" fillId="2" borderId="56" xfId="0" applyNumberFormat="1" applyFont="1" applyFill="1" applyBorder="1"/>
    <xf numFmtId="0" fontId="2" fillId="2" borderId="61" xfId="0" applyFont="1" applyFill="1" applyBorder="1" applyAlignment="1">
      <alignment horizontal="right"/>
    </xf>
    <xf numFmtId="168" fontId="2" fillId="2" borderId="38" xfId="0" applyNumberFormat="1" applyFont="1" applyFill="1" applyBorder="1"/>
    <xf numFmtId="168" fontId="2" fillId="2" borderId="40" xfId="0" applyNumberFormat="1" applyFont="1" applyFill="1" applyBorder="1"/>
    <xf numFmtId="44" fontId="5" fillId="0" borderId="6" xfId="2" applyNumberFormat="1" applyFont="1" applyBorder="1" applyAlignment="1">
      <alignment horizontal="right" vertical="top"/>
    </xf>
    <xf numFmtId="0" fontId="9" fillId="0" borderId="6" xfId="0" applyFont="1" applyFill="1" applyBorder="1" applyAlignment="1">
      <alignment horizontal="left" vertical="top" wrapText="1"/>
    </xf>
    <xf numFmtId="44" fontId="5" fillId="0" borderId="6" xfId="0" applyNumberFormat="1" applyFont="1" applyBorder="1" applyAlignment="1">
      <alignment horizontal="right" vertical="top" wrapText="1"/>
    </xf>
    <xf numFmtId="167" fontId="6" fillId="0" borderId="6" xfId="1" applyNumberFormat="1" applyFont="1" applyFill="1" applyBorder="1" applyAlignment="1">
      <alignment horizontal="left" vertical="top" wrapText="1"/>
    </xf>
    <xf numFmtId="44" fontId="5" fillId="0" borderId="6" xfId="0" applyNumberFormat="1" applyFont="1" applyFill="1" applyBorder="1" applyAlignment="1">
      <alignment horizontal="left" vertical="top"/>
    </xf>
    <xf numFmtId="44" fontId="5" fillId="0" borderId="8" xfId="0" applyNumberFormat="1" applyFont="1" applyFill="1" applyBorder="1" applyAlignment="1">
      <alignment horizontal="left" vertical="top"/>
    </xf>
    <xf numFmtId="167" fontId="5" fillId="0" borderId="6" xfId="1" applyNumberFormat="1" applyFont="1" applyFill="1" applyBorder="1" applyAlignment="1">
      <alignment horizontal="left" vertical="top" wrapText="1"/>
    </xf>
    <xf numFmtId="3" fontId="5" fillId="0" borderId="8" xfId="0" applyNumberFormat="1" applyFont="1" applyFill="1" applyBorder="1" applyAlignment="1">
      <alignment horizontal="left" vertical="top" wrapText="1"/>
    </xf>
    <xf numFmtId="167" fontId="5" fillId="0" borderId="8" xfId="1" applyNumberFormat="1" applyFont="1" applyFill="1" applyBorder="1" applyAlignment="1">
      <alignment horizontal="left" vertical="top" wrapText="1"/>
    </xf>
    <xf numFmtId="44" fontId="5" fillId="0" borderId="8" xfId="0" applyNumberFormat="1" applyFont="1" applyBorder="1" applyAlignment="1">
      <alignment horizontal="left" vertical="top"/>
    </xf>
    <xf numFmtId="44" fontId="6" fillId="0" borderId="8" xfId="2" applyNumberFormat="1" applyFont="1" applyBorder="1" applyAlignment="1">
      <alignment horizontal="left" vertical="top"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0" borderId="22" xfId="0" applyBorder="1" applyAlignment="1">
      <alignment horizontal="left" vertical="top" wrapText="1"/>
    </xf>
    <xf numFmtId="164" fontId="0" fillId="0" borderId="24" xfId="2" applyNumberFormat="1" applyFont="1" applyBorder="1" applyAlignment="1">
      <alignment horizontal="right"/>
    </xf>
    <xf numFmtId="3" fontId="0" fillId="0" borderId="24" xfId="0" applyNumberFormat="1" applyBorder="1" applyAlignment="1">
      <alignment horizontal="right"/>
    </xf>
    <xf numFmtId="167" fontId="0" fillId="0" borderId="25" xfId="1" applyNumberFormat="1" applyFont="1" applyBorder="1" applyAlignment="1">
      <alignment horizontal="right"/>
    </xf>
    <xf numFmtId="0" fontId="0" fillId="0" borderId="38" xfId="0" applyBorder="1" applyAlignment="1">
      <alignment horizontal="right" vertical="center"/>
    </xf>
    <xf numFmtId="164" fontId="0" fillId="0" borderId="50" xfId="2" applyNumberFormat="1" applyFont="1" applyBorder="1" applyAlignment="1">
      <alignment horizontal="right" vertical="center"/>
    </xf>
    <xf numFmtId="167" fontId="0" fillId="0" borderId="50" xfId="1" applyNumberFormat="1" applyFont="1" applyBorder="1" applyAlignment="1">
      <alignment horizontal="right"/>
    </xf>
    <xf numFmtId="167" fontId="0" fillId="0" borderId="51" xfId="1" applyNumberFormat="1" applyFont="1" applyBorder="1" applyAlignment="1">
      <alignment horizontal="right"/>
    </xf>
    <xf numFmtId="0" fontId="0" fillId="0" borderId="26" xfId="0" applyBorder="1" applyAlignment="1">
      <alignment horizontal="left"/>
    </xf>
    <xf numFmtId="0" fontId="0" fillId="0" borderId="28" xfId="0" applyBorder="1" applyAlignment="1">
      <alignment horizontal="left"/>
    </xf>
    <xf numFmtId="0" fontId="2" fillId="0" borderId="0" xfId="0" applyFont="1" applyFill="1" applyBorder="1" applyAlignment="1"/>
    <xf numFmtId="0" fontId="2" fillId="2" borderId="30" xfId="0" applyFont="1" applyFill="1" applyBorder="1" applyAlignment="1">
      <alignment wrapText="1"/>
    </xf>
    <xf numFmtId="0" fontId="2" fillId="2" borderId="6" xfId="0" applyFont="1" applyFill="1" applyBorder="1" applyAlignment="1">
      <alignment wrapText="1"/>
    </xf>
    <xf numFmtId="0" fontId="2" fillId="2" borderId="8" xfId="0" applyFont="1" applyFill="1" applyBorder="1" applyAlignment="1">
      <alignment wrapText="1"/>
    </xf>
    <xf numFmtId="0" fontId="2" fillId="2" borderId="9" xfId="0" applyFont="1" applyFill="1" applyBorder="1" applyAlignment="1">
      <alignment wrapText="1"/>
    </xf>
    <xf numFmtId="0" fontId="0" fillId="0" borderId="53" xfId="0" applyFont="1" applyFill="1" applyBorder="1" applyAlignment="1">
      <alignment wrapText="1"/>
    </xf>
    <xf numFmtId="0" fontId="0" fillId="0" borderId="27" xfId="0" applyFont="1" applyFill="1" applyBorder="1" applyAlignment="1">
      <alignment wrapText="1"/>
    </xf>
    <xf numFmtId="0" fontId="0" fillId="0" borderId="53" xfId="0" applyFill="1" applyBorder="1" applyAlignment="1">
      <alignment wrapText="1"/>
    </xf>
    <xf numFmtId="0" fontId="0" fillId="0" borderId="63" xfId="0" applyFill="1" applyBorder="1" applyAlignment="1">
      <alignment wrapText="1"/>
    </xf>
    <xf numFmtId="166" fontId="0" fillId="0" borderId="45" xfId="0" applyNumberFormat="1" applyBorder="1"/>
    <xf numFmtId="166" fontId="0" fillId="0" borderId="66" xfId="0" applyNumberFormat="1" applyFill="1" applyBorder="1" applyAlignment="1">
      <alignment wrapText="1"/>
    </xf>
    <xf numFmtId="168" fontId="0" fillId="0" borderId="0" xfId="0" applyNumberFormat="1" applyFill="1" applyBorder="1" applyAlignment="1">
      <alignment wrapText="1"/>
    </xf>
    <xf numFmtId="0" fontId="0" fillId="0" borderId="45" xfId="0" applyBorder="1"/>
    <xf numFmtId="0" fontId="0" fillId="0" borderId="66" xfId="0" applyFill="1" applyBorder="1" applyAlignment="1">
      <alignment wrapText="1"/>
    </xf>
    <xf numFmtId="166" fontId="0" fillId="0" borderId="47" xfId="0" applyNumberFormat="1" applyBorder="1"/>
    <xf numFmtId="0" fontId="5" fillId="0" borderId="17" xfId="0" applyFont="1" applyFill="1" applyBorder="1" applyAlignment="1">
      <alignment horizontal="left" vertical="top" wrapText="1"/>
    </xf>
    <xf numFmtId="0" fontId="5" fillId="0" borderId="17" xfId="0" applyFont="1" applyBorder="1" applyAlignment="1">
      <alignment horizontal="left" vertical="top" wrapText="1"/>
    </xf>
    <xf numFmtId="44" fontId="5" fillId="0" borderId="8" xfId="0" applyNumberFormat="1" applyFont="1" applyBorder="1" applyAlignment="1">
      <alignment horizontal="right" vertical="top" wrapText="1"/>
    </xf>
    <xf numFmtId="0" fontId="5" fillId="0" borderId="0" xfId="0" applyFont="1" applyAlignment="1">
      <alignment horizontal="right" vertical="top"/>
    </xf>
    <xf numFmtId="0" fontId="3" fillId="2" borderId="5"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165" fontId="5" fillId="0" borderId="7" xfId="0" applyNumberFormat="1" applyFont="1" applyFill="1" applyBorder="1" applyAlignment="1">
      <alignment horizontal="left" vertical="top" wrapText="1"/>
    </xf>
    <xf numFmtId="49" fontId="6" fillId="0" borderId="6" xfId="0" applyNumberFormat="1" applyFont="1" applyBorder="1" applyAlignment="1">
      <alignment horizontal="left" vertical="top" wrapText="1"/>
    </xf>
    <xf numFmtId="8" fontId="5" fillId="0" borderId="8" xfId="0" applyNumberFormat="1" applyFont="1" applyBorder="1" applyAlignment="1">
      <alignment horizontal="right" vertical="top"/>
    </xf>
    <xf numFmtId="8" fontId="5" fillId="0" borderId="8" xfId="0" applyNumberFormat="1" applyFont="1" applyBorder="1" applyAlignment="1">
      <alignment horizontal="right" vertical="top" wrapText="1"/>
    </xf>
    <xf numFmtId="44" fontId="5" fillId="0" borderId="8" xfId="0" applyNumberFormat="1" applyFont="1" applyFill="1" applyBorder="1" applyAlignment="1">
      <alignment horizontal="right" vertical="top" wrapText="1"/>
    </xf>
    <xf numFmtId="2" fontId="5" fillId="0" borderId="8" xfId="0" applyNumberFormat="1" applyFont="1" applyFill="1" applyBorder="1" applyAlignment="1">
      <alignment horizontal="left" vertical="top"/>
    </xf>
    <xf numFmtId="0" fontId="5" fillId="0" borderId="8" xfId="0" applyNumberFormat="1" applyFont="1" applyFill="1" applyBorder="1" applyAlignment="1">
      <alignment horizontal="left" vertical="top"/>
    </xf>
    <xf numFmtId="165" fontId="5" fillId="0" borderId="8" xfId="0" applyNumberFormat="1" applyFont="1" applyFill="1" applyBorder="1" applyAlignment="1">
      <alignment horizontal="left" vertical="top"/>
    </xf>
    <xf numFmtId="44" fontId="5" fillId="0" borderId="18" xfId="0" applyNumberFormat="1" applyFont="1" applyBorder="1" applyAlignment="1">
      <alignment horizontal="right" vertical="top"/>
    </xf>
    <xf numFmtId="0" fontId="6" fillId="0" borderId="6" xfId="0" applyNumberFormat="1" applyFont="1" applyFill="1" applyBorder="1" applyAlignment="1">
      <alignment horizontal="left" vertical="top" wrapText="1"/>
    </xf>
    <xf numFmtId="0" fontId="7" fillId="0" borderId="6" xfId="0" applyNumberFormat="1" applyFont="1" applyFill="1" applyBorder="1" applyAlignment="1">
      <alignment horizontal="left" vertical="top" wrapText="1"/>
    </xf>
    <xf numFmtId="44" fontId="5" fillId="0" borderId="9" xfId="0" applyNumberFormat="1" applyFont="1" applyBorder="1" applyAlignment="1">
      <alignment horizontal="right" vertical="top"/>
    </xf>
    <xf numFmtId="0" fontId="0" fillId="0" borderId="0" xfId="0" applyAlignment="1"/>
    <xf numFmtId="0" fontId="0" fillId="0" borderId="0" xfId="0" applyFont="1" applyFill="1" applyBorder="1" applyAlignment="1">
      <alignment horizontal="left" vertical="top"/>
    </xf>
    <xf numFmtId="0" fontId="0" fillId="0" borderId="0" xfId="0" applyFill="1"/>
    <xf numFmtId="0" fontId="0" fillId="0" borderId="0" xfId="0" applyFill="1" applyAlignment="1"/>
    <xf numFmtId="44" fontId="5" fillId="0" borderId="0" xfId="0" applyNumberFormat="1" applyFont="1" applyBorder="1" applyAlignment="1">
      <alignment horizontal="right" vertical="top" wrapText="1"/>
    </xf>
    <xf numFmtId="8" fontId="5" fillId="0" borderId="0" xfId="0" applyNumberFormat="1" applyFont="1" applyBorder="1" applyAlignment="1">
      <alignment horizontal="right" vertical="top" wrapText="1"/>
    </xf>
    <xf numFmtId="44" fontId="5" fillId="0" borderId="0" xfId="0" applyNumberFormat="1" applyFont="1" applyBorder="1" applyAlignment="1">
      <alignment horizontal="right" vertical="top"/>
    </xf>
    <xf numFmtId="44" fontId="5" fillId="0" borderId="0" xfId="0" applyNumberFormat="1" applyFont="1" applyFill="1" applyBorder="1" applyAlignment="1">
      <alignment horizontal="right" vertical="top" wrapText="1"/>
    </xf>
    <xf numFmtId="8" fontId="5" fillId="0" borderId="0" xfId="0" applyNumberFormat="1" applyFont="1" applyFill="1" applyBorder="1" applyAlignment="1">
      <alignment horizontal="right" vertical="top" wrapText="1"/>
    </xf>
    <xf numFmtId="44" fontId="5" fillId="0" borderId="0" xfId="0" applyNumberFormat="1" applyFont="1" applyFill="1" applyBorder="1" applyAlignment="1">
      <alignment horizontal="right" vertical="top"/>
    </xf>
    <xf numFmtId="0" fontId="5" fillId="0" borderId="0" xfId="0" applyFont="1" applyFill="1" applyBorder="1" applyAlignment="1">
      <alignment horizontal="right" vertical="top"/>
    </xf>
    <xf numFmtId="8" fontId="5" fillId="0" borderId="0" xfId="0" applyNumberFormat="1" applyFont="1" applyBorder="1" applyAlignment="1">
      <alignment horizontal="right" vertical="top"/>
    </xf>
    <xf numFmtId="0" fontId="4" fillId="2" borderId="9" xfId="0" applyFont="1" applyFill="1" applyBorder="1" applyAlignment="1">
      <alignment horizontal="center" vertical="center" wrapText="1"/>
    </xf>
    <xf numFmtId="44" fontId="5" fillId="0" borderId="9" xfId="0" applyNumberFormat="1" applyFont="1" applyBorder="1" applyAlignment="1">
      <alignment horizontal="right" vertical="top" wrapText="1"/>
    </xf>
    <xf numFmtId="44" fontId="0" fillId="0" borderId="0" xfId="0" applyNumberFormat="1"/>
    <xf numFmtId="0" fontId="5" fillId="0" borderId="0" xfId="0" applyFont="1" applyBorder="1" applyAlignment="1">
      <alignment vertical="top"/>
    </xf>
    <xf numFmtId="0" fontId="5" fillId="0" borderId="0" xfId="0" applyFont="1" applyAlignment="1">
      <alignment vertical="top"/>
    </xf>
    <xf numFmtId="0" fontId="2" fillId="0" borderId="0" xfId="0" applyFont="1"/>
    <xf numFmtId="44" fontId="2" fillId="0" borderId="0" xfId="0" applyNumberFormat="1" applyFont="1"/>
    <xf numFmtId="2" fontId="0" fillId="0" borderId="0" xfId="0" applyNumberFormat="1"/>
    <xf numFmtId="2" fontId="2" fillId="0" borderId="0" xfId="0" applyNumberFormat="1" applyFont="1"/>
    <xf numFmtId="0" fontId="6"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2" fontId="5" fillId="0" borderId="0" xfId="0" applyNumberFormat="1" applyFont="1" applyFill="1" applyBorder="1" applyAlignment="1">
      <alignment horizontal="right" vertical="top"/>
    </xf>
    <xf numFmtId="2" fontId="5" fillId="0" borderId="0" xfId="2" applyNumberFormat="1" applyFont="1" applyFill="1" applyBorder="1" applyAlignment="1">
      <alignment horizontal="right" vertical="top" wrapText="1"/>
    </xf>
    <xf numFmtId="8" fontId="5" fillId="0" borderId="0" xfId="0" applyNumberFormat="1" applyFont="1" applyFill="1" applyBorder="1" applyAlignment="1">
      <alignment horizontal="right" vertical="top"/>
    </xf>
    <xf numFmtId="44" fontId="5" fillId="0" borderId="0" xfId="2" applyFont="1" applyFill="1" applyBorder="1" applyAlignment="1">
      <alignment horizontal="right" vertical="top" wrapText="1"/>
    </xf>
    <xf numFmtId="0" fontId="5" fillId="0" borderId="0" xfId="0" applyFont="1" applyFill="1" applyBorder="1" applyAlignment="1">
      <alignment horizontal="right" vertical="top" wrapText="1"/>
    </xf>
    <xf numFmtId="164" fontId="5" fillId="0" borderId="0" xfId="2" applyNumberFormat="1" applyFont="1" applyFill="1" applyBorder="1" applyAlignment="1">
      <alignment horizontal="righ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169" fontId="0" fillId="0" borderId="0" xfId="0" applyNumberFormat="1"/>
    <xf numFmtId="169" fontId="2" fillId="0" borderId="0" xfId="0" applyNumberFormat="1" applyFont="1"/>
    <xf numFmtId="170" fontId="0" fillId="0" borderId="0" xfId="0" applyNumberFormat="1"/>
    <xf numFmtId="0" fontId="5" fillId="0" borderId="16" xfId="0" applyFont="1" applyFill="1" applyBorder="1" applyAlignment="1">
      <alignment horizontal="left" vertical="top" wrapText="1"/>
    </xf>
    <xf numFmtId="0" fontId="5" fillId="0" borderId="1" xfId="0" applyFont="1" applyBorder="1" applyAlignment="1">
      <alignment horizontal="left" vertical="top"/>
    </xf>
    <xf numFmtId="0" fontId="5" fillId="0" borderId="2"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vertical="top" wrapText="1"/>
    </xf>
    <xf numFmtId="0" fontId="5" fillId="0" borderId="3" xfId="0" applyFont="1" applyFill="1" applyBorder="1" applyAlignment="1">
      <alignment horizontal="left" vertical="top" wrapText="1"/>
    </xf>
    <xf numFmtId="2" fontId="5" fillId="0" borderId="2" xfId="0" applyNumberFormat="1" applyFont="1" applyFill="1" applyBorder="1" applyAlignment="1">
      <alignment horizontal="left" vertical="top" wrapText="1"/>
    </xf>
    <xf numFmtId="0" fontId="5" fillId="0" borderId="2" xfId="0" applyNumberFormat="1" applyFont="1" applyFill="1" applyBorder="1" applyAlignment="1">
      <alignment horizontal="left" vertical="top" wrapText="1"/>
    </xf>
    <xf numFmtId="165" fontId="5" fillId="0" borderId="2" xfId="0" applyNumberFormat="1" applyFont="1" applyFill="1" applyBorder="1" applyAlignment="1">
      <alignment horizontal="left" vertical="top" wrapText="1"/>
    </xf>
    <xf numFmtId="0" fontId="6" fillId="0" borderId="2" xfId="0" applyFont="1" applyBorder="1" applyAlignment="1">
      <alignment horizontal="left" vertical="top" wrapText="1"/>
    </xf>
    <xf numFmtId="0" fontId="5" fillId="0" borderId="11" xfId="0" applyFont="1" applyBorder="1" applyAlignment="1">
      <alignment horizontal="left" vertical="top" wrapText="1"/>
    </xf>
    <xf numFmtId="166" fontId="5" fillId="0" borderId="2" xfId="2" applyNumberFormat="1" applyFont="1" applyBorder="1" applyAlignment="1">
      <alignment horizontal="right" vertical="top"/>
    </xf>
    <xf numFmtId="166" fontId="5" fillId="0" borderId="2" xfId="0" applyNumberFormat="1" applyFont="1" applyBorder="1" applyAlignment="1">
      <alignment horizontal="right" vertical="top"/>
    </xf>
    <xf numFmtId="0" fontId="5" fillId="0" borderId="3" xfId="0" applyFont="1" applyBorder="1" applyAlignment="1">
      <alignment horizontal="left" vertical="top" wrapText="1"/>
    </xf>
    <xf numFmtId="44" fontId="5" fillId="0" borderId="2" xfId="0" applyNumberFormat="1" applyFont="1" applyBorder="1" applyAlignment="1">
      <alignment horizontal="right" vertical="top"/>
    </xf>
    <xf numFmtId="44" fontId="5" fillId="0" borderId="17" xfId="0" applyNumberFormat="1" applyFont="1" applyBorder="1" applyAlignment="1">
      <alignment horizontal="right" vertical="top" wrapText="1"/>
    </xf>
    <xf numFmtId="44" fontId="5" fillId="0" borderId="44" xfId="0" applyNumberFormat="1" applyFont="1" applyBorder="1" applyAlignment="1">
      <alignment horizontal="right" vertical="top" wrapText="1"/>
    </xf>
    <xf numFmtId="0" fontId="5" fillId="0" borderId="1" xfId="0" applyFont="1" applyBorder="1" applyAlignment="1">
      <alignment horizontal="left" vertical="top" wrapText="1"/>
    </xf>
    <xf numFmtId="2" fontId="5" fillId="0" borderId="56" xfId="0" applyNumberFormat="1" applyFont="1" applyFill="1" applyBorder="1" applyAlignment="1">
      <alignment horizontal="left" vertical="top" wrapText="1"/>
    </xf>
    <xf numFmtId="0" fontId="5" fillId="0" borderId="56" xfId="0" applyNumberFormat="1" applyFont="1" applyFill="1" applyBorder="1" applyAlignment="1">
      <alignment horizontal="left" vertical="top" wrapText="1"/>
    </xf>
    <xf numFmtId="165" fontId="5" fillId="0" borderId="56" xfId="0" applyNumberFormat="1" applyFont="1" applyFill="1" applyBorder="1" applyAlignment="1">
      <alignment horizontal="left" vertical="top" wrapText="1"/>
    </xf>
    <xf numFmtId="44" fontId="5" fillId="0" borderId="3" xfId="0" applyNumberFormat="1" applyFont="1" applyBorder="1" applyAlignment="1">
      <alignment horizontal="right" vertical="top"/>
    </xf>
    <xf numFmtId="2" fontId="5" fillId="0" borderId="68" xfId="0" applyNumberFormat="1" applyFont="1" applyFill="1" applyBorder="1" applyAlignment="1">
      <alignment horizontal="left" vertical="top" wrapText="1"/>
    </xf>
    <xf numFmtId="0" fontId="5" fillId="0" borderId="68" xfId="0" applyNumberFormat="1" applyFont="1" applyFill="1" applyBorder="1" applyAlignment="1">
      <alignment horizontal="left" vertical="top" wrapText="1"/>
    </xf>
    <xf numFmtId="165" fontId="5" fillId="0" borderId="68" xfId="0" applyNumberFormat="1" applyFont="1" applyFill="1" applyBorder="1" applyAlignment="1">
      <alignment horizontal="left" vertical="top" wrapText="1"/>
    </xf>
    <xf numFmtId="44" fontId="5" fillId="0" borderId="9" xfId="0" applyNumberFormat="1" applyFont="1" applyFill="1" applyBorder="1" applyAlignment="1">
      <alignment horizontal="right" vertical="top" wrapText="1"/>
    </xf>
    <xf numFmtId="44" fontId="5" fillId="0" borderId="9" xfId="0" applyNumberFormat="1" applyFont="1" applyFill="1" applyBorder="1" applyAlignment="1">
      <alignment horizontal="right" vertical="top"/>
    </xf>
    <xf numFmtId="0" fontId="5" fillId="0" borderId="37" xfId="0" applyFont="1" applyBorder="1" applyAlignment="1">
      <alignment horizontal="left" vertical="top" wrapText="1"/>
    </xf>
    <xf numFmtId="44" fontId="5" fillId="0" borderId="17" xfId="2" applyNumberFormat="1" applyFont="1" applyBorder="1" applyAlignment="1">
      <alignment vertical="top" wrapText="1"/>
    </xf>
    <xf numFmtId="44" fontId="5" fillId="0" borderId="16" xfId="0" applyNumberFormat="1" applyFont="1" applyBorder="1" applyAlignment="1">
      <alignment horizontal="right" vertical="top"/>
    </xf>
    <xf numFmtId="44" fontId="5" fillId="0" borderId="16" xfId="0" applyNumberFormat="1" applyFont="1" applyBorder="1" applyAlignment="1">
      <alignment horizontal="left" vertical="top"/>
    </xf>
    <xf numFmtId="0" fontId="5" fillId="5" borderId="8" xfId="0" applyFont="1" applyFill="1" applyBorder="1" applyAlignment="1">
      <alignment horizontal="left" vertical="top" wrapText="1"/>
    </xf>
    <xf numFmtId="0" fontId="5" fillId="5" borderId="18" xfId="0" applyFont="1" applyFill="1" applyBorder="1" applyAlignment="1">
      <alignment vertical="top" wrapText="1"/>
    </xf>
    <xf numFmtId="0" fontId="5" fillId="5" borderId="18" xfId="0" applyFont="1" applyFill="1" applyBorder="1" applyAlignment="1">
      <alignment horizontal="left" vertical="top" wrapText="1"/>
    </xf>
    <xf numFmtId="44" fontId="5" fillId="0" borderId="0" xfId="0" applyNumberFormat="1" applyFont="1" applyBorder="1" applyAlignment="1">
      <alignment horizontal="left" vertical="top"/>
    </xf>
    <xf numFmtId="44" fontId="5" fillId="6" borderId="0" xfId="0" applyNumberFormat="1" applyFont="1" applyFill="1" applyBorder="1" applyAlignment="1">
      <alignment horizontal="right" vertical="top" wrapText="1"/>
    </xf>
    <xf numFmtId="44" fontId="5" fillId="6" borderId="0" xfId="0" applyNumberFormat="1" applyFont="1" applyFill="1" applyBorder="1" applyAlignment="1">
      <alignment horizontal="right" vertical="top"/>
    </xf>
    <xf numFmtId="0" fontId="5" fillId="6" borderId="0" xfId="0" applyFont="1" applyFill="1" applyBorder="1" applyAlignment="1">
      <alignment horizontal="left" vertical="top"/>
    </xf>
    <xf numFmtId="169" fontId="0" fillId="0" borderId="0" xfId="2" applyNumberFormat="1" applyFont="1"/>
    <xf numFmtId="0" fontId="5" fillId="6" borderId="0" xfId="0" applyFont="1" applyFill="1" applyBorder="1" applyAlignment="1">
      <alignment vertical="top"/>
    </xf>
    <xf numFmtId="167" fontId="0" fillId="0" borderId="0" xfId="1" applyNumberFormat="1" applyFont="1"/>
    <xf numFmtId="3" fontId="0" fillId="0" borderId="0" xfId="0" applyNumberFormat="1"/>
    <xf numFmtId="167" fontId="0" fillId="0" borderId="0" xfId="0" applyNumberFormat="1"/>
    <xf numFmtId="164" fontId="0" fillId="0" borderId="27" xfId="0" applyNumberFormat="1" applyBorder="1" applyAlignment="1">
      <alignment horizontal="right"/>
    </xf>
    <xf numFmtId="164" fontId="0" fillId="0" borderId="20" xfId="0" applyNumberFormat="1" applyBorder="1" applyAlignment="1">
      <alignment horizontal="right"/>
    </xf>
    <xf numFmtId="164" fontId="0" fillId="0" borderId="20" xfId="2" applyNumberFormat="1" applyFont="1" applyBorder="1" applyAlignment="1">
      <alignment horizontal="right"/>
    </xf>
    <xf numFmtId="164" fontId="2" fillId="2" borderId="8" xfId="0" applyNumberFormat="1" applyFont="1" applyFill="1" applyBorder="1" applyAlignment="1">
      <alignment horizontal="right"/>
    </xf>
    <xf numFmtId="1" fontId="0" fillId="0" borderId="27" xfId="1" applyNumberFormat="1" applyFont="1" applyBorder="1" applyAlignment="1">
      <alignment horizontal="right"/>
    </xf>
    <xf numFmtId="1" fontId="0" fillId="0" borderId="59" xfId="1" applyNumberFormat="1" applyFont="1" applyBorder="1" applyAlignment="1">
      <alignment horizontal="right"/>
    </xf>
    <xf numFmtId="1" fontId="0" fillId="0" borderId="20" xfId="1" applyNumberFormat="1" applyFont="1" applyBorder="1" applyAlignment="1">
      <alignment horizontal="right"/>
    </xf>
    <xf numFmtId="1" fontId="0" fillId="0" borderId="21" xfId="1" applyNumberFormat="1" applyFont="1" applyBorder="1" applyAlignment="1">
      <alignment horizontal="right"/>
    </xf>
    <xf numFmtId="167" fontId="0" fillId="0" borderId="24" xfId="1" applyNumberFormat="1" applyFont="1" applyBorder="1"/>
    <xf numFmtId="167" fontId="0" fillId="0" borderId="50" xfId="1" applyNumberFormat="1" applyFont="1" applyBorder="1"/>
    <xf numFmtId="167" fontId="2" fillId="4" borderId="6" xfId="1" applyNumberFormat="1" applyFont="1" applyFill="1" applyBorder="1"/>
    <xf numFmtId="167" fontId="2" fillId="4" borderId="13" xfId="1" applyNumberFormat="1" applyFont="1" applyFill="1" applyBorder="1"/>
    <xf numFmtId="164" fontId="0" fillId="0" borderId="0" xfId="0" applyNumberFormat="1" applyBorder="1"/>
    <xf numFmtId="167" fontId="0" fillId="0" borderId="25" xfId="1" applyNumberFormat="1" applyFont="1" applyBorder="1"/>
    <xf numFmtId="167" fontId="0" fillId="0" borderId="51" xfId="1" applyNumberFormat="1" applyFont="1" applyBorder="1"/>
    <xf numFmtId="0" fontId="10" fillId="2" borderId="30" xfId="0" applyFont="1" applyFill="1" applyBorder="1" applyAlignment="1">
      <alignment horizontal="left" wrapText="1"/>
    </xf>
    <xf numFmtId="0" fontId="0" fillId="0" borderId="54" xfId="0" applyBorder="1" applyAlignment="1">
      <alignment horizontal="right"/>
    </xf>
    <xf numFmtId="168" fontId="0" fillId="0" borderId="34" xfId="2" applyNumberFormat="1" applyFont="1" applyBorder="1" applyAlignment="1">
      <alignment horizontal="right"/>
    </xf>
    <xf numFmtId="0" fontId="0" fillId="0" borderId="20" xfId="0" applyFont="1" applyBorder="1" applyAlignment="1">
      <alignment horizontal="right"/>
    </xf>
    <xf numFmtId="0" fontId="0" fillId="0" borderId="24" xfId="0" applyFont="1" applyBorder="1" applyAlignment="1">
      <alignment horizontal="right"/>
    </xf>
    <xf numFmtId="0" fontId="0" fillId="0" borderId="23" xfId="0" applyFont="1" applyBorder="1" applyAlignment="1">
      <alignment horizontal="right"/>
    </xf>
    <xf numFmtId="0" fontId="0" fillId="0" borderId="54" xfId="0" applyFont="1" applyBorder="1" applyAlignment="1">
      <alignment horizontal="right"/>
    </xf>
    <xf numFmtId="0" fontId="0" fillId="0" borderId="34" xfId="0" applyFont="1" applyBorder="1" applyAlignment="1">
      <alignment horizontal="right"/>
    </xf>
    <xf numFmtId="0" fontId="0" fillId="0" borderId="33" xfId="0" applyFont="1" applyBorder="1" applyAlignment="1">
      <alignment horizontal="right"/>
    </xf>
    <xf numFmtId="168" fontId="0" fillId="0" borderId="20" xfId="0" applyNumberFormat="1" applyFont="1" applyBorder="1" applyAlignment="1">
      <alignment horizontal="right"/>
    </xf>
    <xf numFmtId="0" fontId="0" fillId="0" borderId="45" xfId="0" applyFont="1" applyBorder="1" applyAlignment="1">
      <alignment horizontal="right"/>
    </xf>
    <xf numFmtId="168" fontId="0" fillId="0" borderId="34" xfId="0" applyNumberFormat="1" applyFont="1" applyBorder="1" applyAlignment="1">
      <alignment horizontal="right"/>
    </xf>
    <xf numFmtId="168" fontId="0" fillId="0" borderId="33" xfId="0" applyNumberFormat="1" applyFont="1" applyBorder="1" applyAlignment="1">
      <alignment horizontal="right"/>
    </xf>
    <xf numFmtId="168" fontId="0" fillId="0" borderId="24" xfId="0" applyNumberFormat="1" applyFont="1" applyBorder="1" applyAlignment="1">
      <alignment horizontal="right"/>
    </xf>
    <xf numFmtId="168" fontId="0" fillId="0" borderId="23" xfId="0" applyNumberFormat="1" applyFont="1" applyBorder="1" applyAlignment="1">
      <alignment horizontal="right"/>
    </xf>
    <xf numFmtId="168" fontId="0" fillId="0" borderId="54" xfId="0" applyNumberFormat="1" applyFont="1" applyBorder="1" applyAlignment="1">
      <alignment horizontal="right"/>
    </xf>
    <xf numFmtId="168" fontId="0" fillId="0" borderId="45" xfId="0" applyNumberFormat="1" applyFont="1" applyBorder="1" applyAlignment="1">
      <alignment horizontal="right"/>
    </xf>
    <xf numFmtId="168" fontId="11" fillId="0" borderId="20" xfId="0" applyNumberFormat="1" applyFont="1" applyBorder="1" applyAlignment="1">
      <alignment horizontal="right"/>
    </xf>
    <xf numFmtId="0" fontId="2" fillId="0" borderId="0" xfId="0" applyFont="1" applyFill="1" applyBorder="1" applyAlignment="1">
      <alignment horizontal="center" vertical="center" wrapText="1"/>
    </xf>
    <xf numFmtId="1" fontId="0" fillId="0" borderId="0" xfId="1" applyNumberFormat="1" applyFont="1" applyFill="1" applyBorder="1" applyAlignment="1">
      <alignment horizontal="right"/>
    </xf>
    <xf numFmtId="167" fontId="2" fillId="0" borderId="0" xfId="1" applyNumberFormat="1" applyFont="1" applyFill="1" applyBorder="1" applyAlignment="1">
      <alignment horizontal="right"/>
    </xf>
    <xf numFmtId="1" fontId="2" fillId="2" borderId="3" xfId="0" applyNumberFormat="1" applyFont="1" applyFill="1" applyBorder="1"/>
    <xf numFmtId="168" fontId="11" fillId="0" borderId="0" xfId="0" applyNumberFormat="1" applyFont="1" applyBorder="1" applyAlignment="1">
      <alignment horizontal="right"/>
    </xf>
    <xf numFmtId="168" fontId="2" fillId="2" borderId="69" xfId="0" applyNumberFormat="1" applyFont="1" applyFill="1" applyBorder="1"/>
    <xf numFmtId="168" fontId="2" fillId="2" borderId="50" xfId="0" applyNumberFormat="1" applyFont="1" applyFill="1" applyBorder="1"/>
    <xf numFmtId="168" fontId="0" fillId="0" borderId="60" xfId="0" applyNumberFormat="1" applyFont="1" applyBorder="1" applyAlignment="1">
      <alignment horizontal="right"/>
    </xf>
    <xf numFmtId="0" fontId="0" fillId="0" borderId="0" xfId="0" applyFont="1"/>
    <xf numFmtId="0" fontId="0" fillId="0" borderId="0" xfId="0" applyFont="1" applyBorder="1"/>
    <xf numFmtId="3" fontId="0" fillId="0" borderId="0" xfId="0" applyNumberFormat="1" applyFont="1" applyBorder="1"/>
    <xf numFmtId="0" fontId="0" fillId="0" borderId="0" xfId="0" applyFont="1" applyBorder="1" applyAlignment="1">
      <alignment wrapText="1"/>
    </xf>
    <xf numFmtId="0" fontId="0" fillId="0" borderId="0" xfId="0" applyFont="1" applyAlignment="1">
      <alignment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41" xfId="0" applyFont="1" applyBorder="1"/>
    <xf numFmtId="0" fontId="0" fillId="0" borderId="42" xfId="0" applyFont="1" applyBorder="1" applyAlignment="1">
      <alignment horizontal="right"/>
    </xf>
    <xf numFmtId="0" fontId="0" fillId="0" borderId="43" xfId="0" applyFont="1" applyBorder="1" applyAlignment="1">
      <alignment horizontal="right"/>
    </xf>
    <xf numFmtId="164" fontId="0" fillId="0" borderId="35" xfId="2" applyNumberFormat="1" applyFont="1" applyBorder="1" applyAlignment="1">
      <alignment horizontal="right"/>
    </xf>
    <xf numFmtId="167" fontId="0" fillId="0" borderId="35" xfId="1" applyNumberFormat="1" applyFont="1" applyBorder="1" applyAlignment="1">
      <alignment horizontal="right"/>
    </xf>
    <xf numFmtId="167" fontId="0" fillId="0" borderId="44" xfId="1" applyNumberFormat="1" applyFont="1" applyBorder="1" applyAlignment="1">
      <alignment horizontal="right"/>
    </xf>
    <xf numFmtId="0" fontId="0" fillId="0" borderId="19" xfId="0" applyFont="1" applyBorder="1"/>
    <xf numFmtId="0" fontId="0" fillId="0" borderId="46" xfId="0" applyFont="1" applyBorder="1" applyAlignment="1">
      <alignment horizontal="right"/>
    </xf>
    <xf numFmtId="0" fontId="0" fillId="0" borderId="19" xfId="0" applyFont="1" applyFill="1" applyBorder="1" applyAlignment="1">
      <alignment wrapText="1"/>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8" xfId="0" applyFont="1" applyFill="1" applyBorder="1" applyAlignment="1">
      <alignment horizontal="right" vertical="center"/>
    </xf>
    <xf numFmtId="164" fontId="2" fillId="2" borderId="6" xfId="2" applyNumberFormat="1" applyFont="1" applyFill="1" applyBorder="1" applyAlignment="1">
      <alignment horizontal="right" vertical="center"/>
    </xf>
    <xf numFmtId="167" fontId="2" fillId="2" borderId="6" xfId="1" applyNumberFormat="1" applyFont="1" applyFill="1" applyBorder="1" applyAlignment="1">
      <alignment horizontal="right" vertical="center"/>
    </xf>
    <xf numFmtId="167" fontId="2" fillId="2" borderId="13" xfId="1" applyNumberFormat="1" applyFont="1" applyFill="1" applyBorder="1" applyAlignment="1">
      <alignment horizontal="right" vertical="center"/>
    </xf>
    <xf numFmtId="0" fontId="2" fillId="4" borderId="6"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0" fillId="0" borderId="22" xfId="0" applyFont="1" applyBorder="1"/>
    <xf numFmtId="3" fontId="0" fillId="0" borderId="24" xfId="0" applyNumberFormat="1" applyFont="1" applyBorder="1"/>
    <xf numFmtId="0" fontId="0" fillId="0" borderId="49" xfId="0" applyFont="1" applyBorder="1"/>
    <xf numFmtId="3" fontId="2" fillId="4" borderId="6" xfId="0" applyNumberFormat="1" applyFont="1" applyFill="1" applyBorder="1"/>
    <xf numFmtId="3" fontId="2" fillId="4" borderId="13" xfId="0" applyNumberFormat="1" applyFont="1" applyFill="1" applyBorder="1"/>
    <xf numFmtId="0" fontId="0" fillId="0" borderId="0" xfId="0" applyFont="1" applyBorder="1" applyAlignment="1">
      <alignment horizontal="left"/>
    </xf>
    <xf numFmtId="0" fontId="0" fillId="0" borderId="0" xfId="0" applyNumberFormat="1" applyFont="1" applyBorder="1"/>
    <xf numFmtId="0" fontId="2" fillId="2" borderId="30" xfId="0" applyFont="1" applyFill="1" applyBorder="1" applyAlignment="1">
      <alignment vertical="top" wrapText="1"/>
    </xf>
    <xf numFmtId="0" fontId="0" fillId="0" borderId="27" xfId="0" applyNumberFormat="1" applyFont="1" applyBorder="1" applyAlignment="1">
      <alignment horizontal="right" wrapText="1"/>
    </xf>
    <xf numFmtId="0" fontId="0" fillId="0" borderId="27" xfId="0" applyFont="1" applyBorder="1" applyAlignment="1">
      <alignment horizontal="right"/>
    </xf>
    <xf numFmtId="164" fontId="0" fillId="0" borderId="20" xfId="0" applyNumberFormat="1" applyFont="1" applyBorder="1" applyAlignment="1">
      <alignment horizontal="right"/>
    </xf>
    <xf numFmtId="44" fontId="0" fillId="0" borderId="20" xfId="0" applyNumberFormat="1" applyFont="1" applyBorder="1" applyAlignment="1">
      <alignment horizontal="right"/>
    </xf>
    <xf numFmtId="1" fontId="2" fillId="2" borderId="2" xfId="0" applyNumberFormat="1" applyFont="1" applyFill="1" applyBorder="1" applyAlignment="1">
      <alignment horizontal="right"/>
    </xf>
    <xf numFmtId="164" fontId="2" fillId="2" borderId="38" xfId="0" applyNumberFormat="1" applyFont="1" applyFill="1" applyBorder="1" applyAlignment="1">
      <alignment horizontal="right"/>
    </xf>
    <xf numFmtId="0" fontId="0" fillId="0" borderId="19" xfId="0" applyFont="1" applyBorder="1" applyAlignment="1">
      <alignment wrapText="1"/>
    </xf>
    <xf numFmtId="0" fontId="0" fillId="0" borderId="32" xfId="0" applyFont="1" applyBorder="1" applyAlignment="1">
      <alignment horizontal="right"/>
    </xf>
    <xf numFmtId="0" fontId="0" fillId="0" borderId="0" xfId="0" applyFont="1" applyBorder="1" applyAlignment="1">
      <alignment horizontal="right"/>
    </xf>
    <xf numFmtId="164" fontId="0" fillId="0" borderId="0" xfId="0" applyNumberFormat="1" applyFont="1" applyBorder="1"/>
    <xf numFmtId="0" fontId="2" fillId="0" borderId="0" xfId="0" applyFont="1" applyFill="1" applyBorder="1" applyAlignment="1">
      <alignment horizontal="left" wrapText="1"/>
    </xf>
    <xf numFmtId="0" fontId="2" fillId="0" borderId="0" xfId="0" applyFont="1" applyFill="1" applyBorder="1" applyAlignment="1">
      <alignment horizontal="center" wrapText="1"/>
    </xf>
    <xf numFmtId="0" fontId="0" fillId="0" borderId="0" xfId="0" applyFont="1" applyFill="1" applyBorder="1" applyAlignment="1">
      <alignment horizontal="right"/>
    </xf>
    <xf numFmtId="0" fontId="0" fillId="0" borderId="0" xfId="0" applyFont="1" applyFill="1" applyBorder="1"/>
    <xf numFmtId="164" fontId="0" fillId="0" borderId="0" xfId="0" applyNumberFormat="1" applyFont="1" applyFill="1" applyBorder="1" applyAlignment="1">
      <alignment horizontal="right"/>
    </xf>
    <xf numFmtId="164" fontId="0" fillId="0" borderId="0" xfId="0" applyNumberFormat="1" applyFont="1" applyFill="1" applyBorder="1"/>
    <xf numFmtId="44" fontId="0" fillId="0" borderId="0" xfId="0" applyNumberFormat="1" applyFont="1" applyFill="1" applyBorder="1" applyAlignment="1">
      <alignment horizontal="right"/>
    </xf>
    <xf numFmtId="1" fontId="2" fillId="0" borderId="0" xfId="0" applyNumberFormat="1" applyFont="1" applyFill="1" applyBorder="1" applyAlignment="1">
      <alignment horizontal="right"/>
    </xf>
    <xf numFmtId="0" fontId="2" fillId="0" borderId="0" xfId="0" applyFont="1" applyFill="1" applyBorder="1"/>
    <xf numFmtId="164" fontId="2" fillId="0" borderId="0" xfId="0" applyNumberFormat="1" applyFont="1" applyFill="1" applyBorder="1" applyAlignment="1">
      <alignment horizontal="right"/>
    </xf>
    <xf numFmtId="164" fontId="2" fillId="0" borderId="0" xfId="0" applyNumberFormat="1" applyFont="1" applyFill="1" applyBorder="1"/>
    <xf numFmtId="0" fontId="0" fillId="0" borderId="59" xfId="0" applyFont="1" applyBorder="1" applyAlignment="1">
      <alignment horizontal="right"/>
    </xf>
    <xf numFmtId="164" fontId="0" fillId="0" borderId="21" xfId="0" applyNumberFormat="1" applyFont="1" applyBorder="1" applyAlignment="1">
      <alignment horizontal="right"/>
    </xf>
    <xf numFmtId="0" fontId="0" fillId="0" borderId="21" xfId="0" applyFont="1" applyBorder="1" applyAlignment="1">
      <alignment horizontal="right"/>
    </xf>
    <xf numFmtId="1" fontId="2" fillId="2" borderId="12" xfId="0" applyNumberFormat="1" applyFont="1" applyFill="1" applyBorder="1" applyAlignment="1">
      <alignment horizontal="right"/>
    </xf>
    <xf numFmtId="164" fontId="2" fillId="2" borderId="65" xfId="0" applyNumberFormat="1" applyFont="1" applyFill="1" applyBorder="1" applyAlignment="1">
      <alignment horizontal="right"/>
    </xf>
    <xf numFmtId="0" fontId="0" fillId="0" borderId="1" xfId="0" applyFont="1" applyBorder="1" applyAlignment="1">
      <alignment wrapText="1"/>
    </xf>
    <xf numFmtId="0" fontId="0" fillId="0" borderId="2" xfId="0" applyFont="1" applyBorder="1" applyAlignment="1">
      <alignment horizontal="right" vertical="center"/>
    </xf>
    <xf numFmtId="0" fontId="0" fillId="0" borderId="11" xfId="0" applyFont="1" applyBorder="1" applyAlignment="1">
      <alignment horizontal="right" vertical="center"/>
    </xf>
    <xf numFmtId="164" fontId="0" fillId="0" borderId="2" xfId="2" applyNumberFormat="1" applyFont="1" applyBorder="1"/>
    <xf numFmtId="167" fontId="0" fillId="0" borderId="3" xfId="1" applyNumberFormat="1" applyFont="1" applyBorder="1" applyAlignment="1">
      <alignment horizontal="center" vertical="center"/>
    </xf>
    <xf numFmtId="167" fontId="0" fillId="0" borderId="4" xfId="1" applyNumberFormat="1" applyFont="1" applyBorder="1" applyAlignment="1">
      <alignment horizontal="center" vertical="center"/>
    </xf>
    <xf numFmtId="0" fontId="0" fillId="0" borderId="20" xfId="0" applyFont="1" applyBorder="1" applyAlignment="1">
      <alignment horizontal="right" vertical="center"/>
    </xf>
    <xf numFmtId="164" fontId="0" fillId="0" borderId="20" xfId="2" applyNumberFormat="1" applyFont="1" applyBorder="1"/>
    <xf numFmtId="167" fontId="0" fillId="0" borderId="20" xfId="1" applyNumberFormat="1" applyFont="1" applyBorder="1" applyAlignment="1">
      <alignment horizontal="center" vertical="center"/>
    </xf>
    <xf numFmtId="167" fontId="0" fillId="0" borderId="21" xfId="1" applyNumberFormat="1" applyFont="1" applyBorder="1" applyAlignment="1">
      <alignment horizontal="center" vertical="center"/>
    </xf>
    <xf numFmtId="0" fontId="2" fillId="2" borderId="5" xfId="0" applyFont="1" applyFill="1" applyBorder="1" applyAlignment="1">
      <alignment horizontal="right" vertical="center" wrapText="1"/>
    </xf>
    <xf numFmtId="164" fontId="2" fillId="2" borderId="8" xfId="0" applyNumberFormat="1" applyFont="1" applyFill="1" applyBorder="1" applyAlignment="1">
      <alignment horizontal="right" vertical="center"/>
    </xf>
    <xf numFmtId="167" fontId="2" fillId="2" borderId="8" xfId="1" applyNumberFormat="1" applyFont="1" applyFill="1" applyBorder="1" applyAlignment="1">
      <alignment horizontal="right" vertical="center"/>
    </xf>
    <xf numFmtId="0" fontId="0" fillId="0" borderId="26" xfId="0" applyFont="1" applyBorder="1" applyAlignment="1">
      <alignment horizontal="left"/>
    </xf>
    <xf numFmtId="3" fontId="0" fillId="0" borderId="27" xfId="0" applyNumberFormat="1" applyFont="1" applyBorder="1"/>
    <xf numFmtId="0" fontId="0" fillId="0" borderId="28" xfId="0" applyFont="1" applyBorder="1" applyAlignment="1">
      <alignment horizontal="left"/>
    </xf>
    <xf numFmtId="3" fontId="0" fillId="0" borderId="29" xfId="0" applyNumberFormat="1" applyFont="1" applyBorder="1"/>
    <xf numFmtId="3" fontId="2" fillId="2" borderId="6" xfId="0" applyNumberFormat="1" applyFont="1" applyFill="1" applyBorder="1"/>
    <xf numFmtId="0" fontId="2" fillId="0" borderId="15" xfId="0" applyFont="1" applyBorder="1" applyAlignment="1"/>
    <xf numFmtId="0" fontId="2" fillId="2" borderId="35" xfId="0" applyFont="1" applyFill="1" applyBorder="1" applyAlignment="1">
      <alignment horizontal="right"/>
    </xf>
    <xf numFmtId="168" fontId="2" fillId="2" borderId="38" xfId="0" applyNumberFormat="1" applyFont="1" applyFill="1" applyBorder="1" applyAlignment="1">
      <alignment horizontal="right"/>
    </xf>
    <xf numFmtId="168" fontId="2" fillId="2" borderId="39" xfId="0" applyNumberFormat="1" applyFont="1" applyFill="1" applyBorder="1" applyAlignment="1">
      <alignment horizontal="right"/>
    </xf>
    <xf numFmtId="167" fontId="2" fillId="2" borderId="9" xfId="1" applyNumberFormat="1" applyFont="1" applyFill="1" applyBorder="1" applyAlignment="1">
      <alignment horizontal="right" vertical="center"/>
    </xf>
    <xf numFmtId="3" fontId="2" fillId="2" borderId="9" xfId="0" applyNumberFormat="1" applyFont="1" applyFill="1" applyBorder="1"/>
    <xf numFmtId="3" fontId="2" fillId="2" borderId="8" xfId="0" applyNumberFormat="1" applyFont="1" applyFill="1" applyBorder="1"/>
    <xf numFmtId="0" fontId="0" fillId="0" borderId="63" xfId="0" applyFont="1" applyBorder="1" applyAlignment="1">
      <alignment horizontal="right"/>
    </xf>
    <xf numFmtId="168" fontId="0" fillId="0" borderId="63" xfId="0" applyNumberFormat="1" applyFont="1" applyBorder="1" applyAlignment="1">
      <alignment horizontal="right"/>
    </xf>
    <xf numFmtId="0" fontId="2" fillId="2" borderId="62" xfId="0" applyNumberFormat="1" applyFont="1" applyFill="1" applyBorder="1" applyAlignment="1">
      <alignment horizontal="right"/>
    </xf>
    <xf numFmtId="168" fontId="2" fillId="2" borderId="51" xfId="0" applyNumberFormat="1" applyFont="1" applyFill="1" applyBorder="1" applyAlignment="1">
      <alignment horizontal="right"/>
    </xf>
    <xf numFmtId="0" fontId="2" fillId="0" borderId="0" xfId="0" applyFont="1" applyBorder="1" applyAlignment="1"/>
    <xf numFmtId="0" fontId="2" fillId="2" borderId="13" xfId="0" applyFont="1" applyFill="1" applyBorder="1" applyAlignment="1">
      <alignment horizontal="right" wrapText="1"/>
    </xf>
    <xf numFmtId="3" fontId="0" fillId="0" borderId="59" xfId="0" applyNumberFormat="1" applyFont="1" applyBorder="1"/>
    <xf numFmtId="3" fontId="0" fillId="0" borderId="70" xfId="0" applyNumberFormat="1" applyFont="1" applyBorder="1"/>
    <xf numFmtId="0" fontId="0" fillId="0" borderId="22" xfId="0" applyFont="1" applyBorder="1" applyAlignment="1">
      <alignment vertical="center" wrapText="1"/>
    </xf>
    <xf numFmtId="164" fontId="0" fillId="0" borderId="23" xfId="2" applyNumberFormat="1" applyFont="1" applyBorder="1" applyAlignment="1">
      <alignment horizontal="right"/>
    </xf>
    <xf numFmtId="167" fontId="0" fillId="0" borderId="2" xfId="1" applyNumberFormat="1" applyFont="1" applyBorder="1" applyAlignment="1">
      <alignment horizontal="right"/>
    </xf>
    <xf numFmtId="0" fontId="0" fillId="0" borderId="19" xfId="0" applyFont="1" applyBorder="1" applyAlignment="1">
      <alignment vertical="center" wrapText="1"/>
    </xf>
    <xf numFmtId="0" fontId="2" fillId="2" borderId="8" xfId="0" applyFont="1" applyFill="1" applyBorder="1" applyAlignment="1">
      <alignment horizontal="center" vertical="center"/>
    </xf>
    <xf numFmtId="0" fontId="2" fillId="0" borderId="0" xfId="0" applyFont="1" applyFill="1" applyBorder="1" applyAlignment="1">
      <alignment horizontal="right" vertical="center" wrapText="1"/>
    </xf>
    <xf numFmtId="0" fontId="2" fillId="0" borderId="0" xfId="0" applyFont="1" applyBorder="1" applyAlignment="1">
      <alignment horizontal="center" vertical="center"/>
    </xf>
    <xf numFmtId="168" fontId="2" fillId="0" borderId="0" xfId="0" applyNumberFormat="1" applyFont="1" applyBorder="1" applyAlignment="1">
      <alignment horizontal="center" vertical="center"/>
    </xf>
    <xf numFmtId="167" fontId="2" fillId="0" borderId="0" xfId="1" applyNumberFormat="1" applyFont="1" applyBorder="1" applyAlignment="1">
      <alignment horizontal="center" vertical="center"/>
    </xf>
    <xf numFmtId="0" fontId="2" fillId="4" borderId="10" xfId="0" applyFont="1" applyFill="1" applyBorder="1" applyAlignment="1">
      <alignment horizontal="center" vertical="center"/>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0" fillId="0" borderId="58" xfId="0" applyFont="1" applyBorder="1"/>
    <xf numFmtId="167" fontId="0" fillId="0" borderId="20" xfId="1" applyNumberFormat="1" applyFont="1" applyBorder="1"/>
    <xf numFmtId="167" fontId="0" fillId="0" borderId="21" xfId="1" applyNumberFormat="1" applyFont="1" applyBorder="1"/>
    <xf numFmtId="0" fontId="0" fillId="0" borderId="57" xfId="0" applyFont="1" applyBorder="1"/>
    <xf numFmtId="167" fontId="0" fillId="0" borderId="29" xfId="1" applyNumberFormat="1" applyFont="1" applyBorder="1"/>
    <xf numFmtId="167" fontId="0" fillId="0" borderId="48" xfId="1" applyNumberFormat="1" applyFont="1" applyBorder="1"/>
    <xf numFmtId="0" fontId="2" fillId="4" borderId="10" xfId="0" applyFont="1" applyFill="1" applyBorder="1" applyAlignment="1">
      <alignment horizontal="right"/>
    </xf>
    <xf numFmtId="167" fontId="2" fillId="2" borderId="8" xfId="1" applyNumberFormat="1" applyFont="1" applyFill="1" applyBorder="1"/>
    <xf numFmtId="167" fontId="2" fillId="2" borderId="9" xfId="1" applyNumberFormat="1" applyFont="1" applyFill="1" applyBorder="1"/>
    <xf numFmtId="0" fontId="2" fillId="2" borderId="7" xfId="0" applyFont="1" applyFill="1" applyBorder="1" applyAlignment="1">
      <alignment wrapText="1"/>
    </xf>
    <xf numFmtId="168" fontId="0" fillId="0" borderId="20" xfId="0" applyNumberFormat="1" applyFont="1" applyBorder="1"/>
    <xf numFmtId="168" fontId="0" fillId="0" borderId="29" xfId="0" applyNumberFormat="1" applyFont="1" applyBorder="1"/>
    <xf numFmtId="0" fontId="2" fillId="2" borderId="18" xfId="0" applyFont="1" applyFill="1" applyBorder="1" applyAlignment="1">
      <alignment horizontal="right" vertical="center"/>
    </xf>
    <xf numFmtId="168" fontId="2" fillId="2" borderId="6" xfId="0" applyNumberFormat="1" applyFont="1" applyFill="1" applyBorder="1" applyAlignment="1">
      <alignment horizontal="right" vertical="center"/>
    </xf>
    <xf numFmtId="0" fontId="0" fillId="0" borderId="0" xfId="0" applyFont="1" applyFill="1"/>
    <xf numFmtId="0" fontId="2" fillId="2" borderId="2" xfId="0" applyFont="1" applyFill="1" applyBorder="1" applyAlignment="1">
      <alignment horizontal="right"/>
    </xf>
    <xf numFmtId="0" fontId="2" fillId="2" borderId="56" xfId="0" applyFont="1" applyFill="1" applyBorder="1" applyAlignment="1">
      <alignment horizontal="right"/>
    </xf>
    <xf numFmtId="168" fontId="0" fillId="2" borderId="40" xfId="0" applyNumberFormat="1" applyFont="1" applyFill="1" applyBorder="1" applyAlignment="1">
      <alignment horizontal="right"/>
    </xf>
    <xf numFmtId="167" fontId="0" fillId="0" borderId="0" xfId="1" applyNumberFormat="1" applyFont="1" applyBorder="1"/>
    <xf numFmtId="167" fontId="2" fillId="0" borderId="0" xfId="1" applyNumberFormat="1" applyFont="1" applyBorder="1"/>
    <xf numFmtId="0" fontId="0" fillId="0" borderId="0" xfId="0" applyFont="1" applyFill="1" applyBorder="1" applyAlignment="1">
      <alignment wrapText="1"/>
    </xf>
    <xf numFmtId="168" fontId="0" fillId="0" borderId="0" xfId="0" applyNumberFormat="1" applyFont="1" applyFill="1" applyBorder="1"/>
    <xf numFmtId="0" fontId="2" fillId="2" borderId="3" xfId="0" applyFont="1" applyFill="1" applyBorder="1"/>
    <xf numFmtId="168" fontId="2" fillId="2" borderId="51" xfId="0" applyNumberFormat="1" applyFont="1" applyFill="1" applyBorder="1"/>
    <xf numFmtId="0" fontId="2" fillId="0" borderId="0" xfId="0" applyFont="1" applyFill="1" applyBorder="1" applyAlignment="1">
      <alignment horizontal="right"/>
    </xf>
    <xf numFmtId="0" fontId="2" fillId="0" borderId="0" xfId="0" applyFont="1" applyFill="1" applyBorder="1" applyAlignment="1">
      <alignment horizontal="center"/>
    </xf>
    <xf numFmtId="6" fontId="2" fillId="0" borderId="0" xfId="0" applyNumberFormat="1" applyFont="1" applyFill="1" applyBorder="1"/>
    <xf numFmtId="167" fontId="2" fillId="0" borderId="0" xfId="1" applyNumberFormat="1" applyFont="1" applyFill="1" applyBorder="1"/>
    <xf numFmtId="0" fontId="0" fillId="0" borderId="49" xfId="0" applyFont="1" applyBorder="1" applyAlignment="1">
      <alignment wrapText="1"/>
    </xf>
    <xf numFmtId="0" fontId="0" fillId="0" borderId="1" xfId="0" applyFont="1" applyFill="1" applyBorder="1" applyAlignment="1">
      <alignment horizontal="left" wrapText="1"/>
    </xf>
    <xf numFmtId="0" fontId="0" fillId="0" borderId="38" xfId="0" applyFont="1" applyBorder="1" applyAlignment="1">
      <alignment horizontal="right"/>
    </xf>
    <xf numFmtId="167" fontId="1" fillId="0" borderId="38" xfId="1" applyNumberFormat="1" applyFont="1" applyBorder="1" applyAlignment="1">
      <alignment horizontal="right"/>
    </xf>
    <xf numFmtId="167" fontId="1" fillId="0" borderId="51" xfId="1" applyNumberFormat="1" applyFont="1" applyBorder="1" applyAlignment="1">
      <alignment horizontal="right"/>
    </xf>
    <xf numFmtId="0" fontId="0" fillId="0" borderId="2" xfId="0" applyFont="1" applyFill="1" applyBorder="1" applyAlignment="1">
      <alignment horizontal="right" wrapText="1"/>
    </xf>
    <xf numFmtId="164" fontId="0" fillId="0" borderId="38" xfId="0" applyNumberFormat="1" applyFont="1" applyBorder="1" applyAlignment="1">
      <alignment horizontal="right"/>
    </xf>
    <xf numFmtId="164" fontId="0" fillId="0" borderId="2" xfId="0" applyNumberFormat="1" applyFont="1" applyFill="1" applyBorder="1" applyAlignment="1">
      <alignment horizontal="right" wrapText="1"/>
    </xf>
    <xf numFmtId="0" fontId="2" fillId="2" borderId="4" xfId="0" applyFont="1" applyFill="1" applyBorder="1" applyAlignment="1">
      <alignment wrapText="1"/>
    </xf>
    <xf numFmtId="0" fontId="0" fillId="0" borderId="47" xfId="0" applyFont="1" applyBorder="1"/>
    <xf numFmtId="0" fontId="0" fillId="0" borderId="71" xfId="0" applyFont="1" applyBorder="1"/>
    <xf numFmtId="168" fontId="0" fillId="0" borderId="38" xfId="0" applyNumberFormat="1" applyFont="1" applyBorder="1"/>
    <xf numFmtId="168" fontId="0" fillId="0" borderId="50" xfId="0" applyNumberFormat="1" applyFont="1" applyBorder="1"/>
    <xf numFmtId="168" fontId="0" fillId="0" borderId="71" xfId="0" applyNumberFormat="1" applyFont="1" applyBorder="1"/>
    <xf numFmtId="167" fontId="0" fillId="0" borderId="23" xfId="1" applyNumberFormat="1" applyFont="1" applyBorder="1" applyAlignment="1">
      <alignment horizontal="right"/>
    </xf>
    <xf numFmtId="167" fontId="0" fillId="0" borderId="25" xfId="1" applyNumberFormat="1" applyFont="1" applyFill="1" applyBorder="1" applyAlignment="1">
      <alignment horizontal="right" wrapText="1"/>
    </xf>
    <xf numFmtId="168" fontId="2" fillId="2" borderId="8" xfId="0" applyNumberFormat="1" applyFont="1" applyFill="1" applyBorder="1" applyAlignment="1">
      <alignment horizontal="right"/>
    </xf>
    <xf numFmtId="167" fontId="2" fillId="2" borderId="67" xfId="1" applyNumberFormat="1" applyFont="1" applyFill="1" applyBorder="1"/>
    <xf numFmtId="167" fontId="0" fillId="0" borderId="65" xfId="1" applyNumberFormat="1" applyFont="1" applyBorder="1"/>
    <xf numFmtId="0" fontId="2" fillId="2" borderId="9" xfId="0" applyFont="1" applyFill="1" applyBorder="1" applyAlignment="1">
      <alignment horizontal="center" wrapText="1"/>
    </xf>
    <xf numFmtId="0" fontId="0" fillId="0" borderId="3" xfId="0" applyFont="1" applyFill="1" applyBorder="1" applyAlignment="1">
      <alignment wrapText="1"/>
    </xf>
    <xf numFmtId="0" fontId="0" fillId="0" borderId="4" xfId="0" applyFont="1" applyFill="1" applyBorder="1" applyAlignment="1">
      <alignment wrapText="1"/>
    </xf>
    <xf numFmtId="168" fontId="0" fillId="0" borderId="45" xfId="0" applyNumberFormat="1" applyFont="1" applyBorder="1"/>
    <xf numFmtId="168" fontId="0" fillId="0" borderId="65" xfId="0" applyNumberFormat="1" applyFont="1" applyBorder="1"/>
    <xf numFmtId="1" fontId="2" fillId="2" borderId="25" xfId="0" applyNumberFormat="1" applyFont="1" applyFill="1" applyBorder="1"/>
    <xf numFmtId="0" fontId="0" fillId="0" borderId="26" xfId="0" applyFont="1" applyBorder="1" applyAlignment="1">
      <alignment horizontal="left" wrapText="1"/>
    </xf>
    <xf numFmtId="164" fontId="0" fillId="0" borderId="53" xfId="0" applyNumberFormat="1" applyFont="1" applyBorder="1" applyAlignment="1">
      <alignment horizontal="right"/>
    </xf>
    <xf numFmtId="167" fontId="0" fillId="0" borderId="27" xfId="1" applyNumberFormat="1" applyFont="1" applyBorder="1" applyAlignment="1">
      <alignment horizontal="right"/>
    </xf>
    <xf numFmtId="0" fontId="0" fillId="0" borderId="22" xfId="0" applyFont="1" applyBorder="1" applyAlignment="1">
      <alignment horizontal="left" wrapText="1"/>
    </xf>
    <xf numFmtId="164" fontId="0" fillId="0" borderId="24" xfId="0" applyNumberFormat="1" applyFont="1" applyBorder="1" applyAlignment="1">
      <alignment horizontal="right"/>
    </xf>
    <xf numFmtId="0" fontId="0" fillId="0" borderId="25" xfId="0" applyFont="1" applyBorder="1" applyAlignment="1">
      <alignment horizontal="right"/>
    </xf>
    <xf numFmtId="167" fontId="2" fillId="2" borderId="18" xfId="1" applyNumberFormat="1" applyFont="1" applyFill="1" applyBorder="1" applyAlignment="1">
      <alignment horizontal="right" vertical="center"/>
    </xf>
    <xf numFmtId="0" fontId="2" fillId="2" borderId="30" xfId="0" applyFont="1" applyFill="1" applyBorder="1" applyAlignment="1">
      <alignment horizontal="left" wrapText="1"/>
    </xf>
    <xf numFmtId="0" fontId="0" fillId="0" borderId="2" xfId="0" applyFont="1" applyBorder="1"/>
    <xf numFmtId="168" fontId="0" fillId="0" borderId="21" xfId="0" applyNumberFormat="1" applyFont="1" applyBorder="1"/>
    <xf numFmtId="0" fontId="0" fillId="0" borderId="20" xfId="0" applyNumberFormat="1" applyFont="1" applyBorder="1"/>
    <xf numFmtId="0" fontId="0" fillId="0" borderId="21" xfId="0" applyNumberFormat="1" applyFont="1" applyBorder="1"/>
    <xf numFmtId="0" fontId="0" fillId="0" borderId="29" xfId="0" applyNumberFormat="1" applyFont="1" applyBorder="1"/>
    <xf numFmtId="0" fontId="2" fillId="2" borderId="2" xfId="0" applyNumberFormat="1" applyFont="1" applyFill="1" applyBorder="1"/>
    <xf numFmtId="0" fontId="2" fillId="2" borderId="12" xfId="0" applyNumberFormat="1" applyFont="1" applyFill="1" applyBorder="1"/>
    <xf numFmtId="164" fontId="2" fillId="2" borderId="38" xfId="0" applyNumberFormat="1" applyFont="1" applyFill="1" applyBorder="1"/>
    <xf numFmtId="164" fontId="2" fillId="2" borderId="65" xfId="0" applyNumberFormat="1" applyFont="1" applyFill="1" applyBorder="1"/>
    <xf numFmtId="0" fontId="2" fillId="2" borderId="10" xfId="0" applyFont="1" applyFill="1" applyBorder="1" applyAlignment="1">
      <alignment horizontal="right"/>
    </xf>
    <xf numFmtId="0" fontId="0" fillId="0" borderId="1" xfId="0" applyFont="1" applyBorder="1" applyAlignment="1">
      <alignment horizontal="left"/>
    </xf>
    <xf numFmtId="167" fontId="0" fillId="0" borderId="3" xfId="1" applyNumberFormat="1" applyFont="1" applyBorder="1"/>
    <xf numFmtId="0" fontId="0" fillId="0" borderId="49" xfId="0" applyFont="1" applyBorder="1" applyAlignment="1">
      <alignment horizontal="left"/>
    </xf>
    <xf numFmtId="167" fontId="0" fillId="0" borderId="63" xfId="1" applyNumberFormat="1" applyFont="1" applyBorder="1" applyAlignment="1">
      <alignment horizontal="right"/>
    </xf>
    <xf numFmtId="168" fontId="2" fillId="2" borderId="18" xfId="1" applyNumberFormat="1" applyFont="1" applyFill="1" applyBorder="1" applyAlignment="1">
      <alignment horizontal="right" vertical="center"/>
    </xf>
    <xf numFmtId="3" fontId="0" fillId="0" borderId="38" xfId="0" applyNumberFormat="1" applyFont="1" applyBorder="1"/>
    <xf numFmtId="167" fontId="2" fillId="2" borderId="6" xfId="0" applyNumberFormat="1" applyFont="1" applyFill="1" applyBorder="1"/>
    <xf numFmtId="0" fontId="0" fillId="0" borderId="0" xfId="0" applyNumberFormat="1" applyFont="1" applyFill="1" applyBorder="1"/>
    <xf numFmtId="0" fontId="2" fillId="0" borderId="0" xfId="0" applyNumberFormat="1" applyFont="1" applyFill="1" applyBorder="1"/>
    <xf numFmtId="1" fontId="0" fillId="0" borderId="20" xfId="0" applyNumberFormat="1" applyFont="1" applyBorder="1"/>
    <xf numFmtId="0" fontId="0" fillId="0" borderId="12" xfId="0" applyFont="1" applyBorder="1"/>
    <xf numFmtId="1" fontId="0" fillId="0" borderId="21" xfId="0" applyNumberFormat="1" applyFont="1" applyBorder="1"/>
    <xf numFmtId="1" fontId="0" fillId="0" borderId="48" xfId="0" applyNumberFormat="1" applyFont="1" applyBorder="1"/>
    <xf numFmtId="1" fontId="0" fillId="0" borderId="63" xfId="0" applyNumberFormat="1" applyFont="1" applyBorder="1" applyAlignment="1">
      <alignment horizontal="right"/>
    </xf>
    <xf numFmtId="1" fontId="0" fillId="0" borderId="25" xfId="0" applyNumberFormat="1" applyFont="1" applyBorder="1" applyAlignment="1">
      <alignment horizontal="right"/>
    </xf>
    <xf numFmtId="0" fontId="0" fillId="0" borderId="38" xfId="0" applyNumberFormat="1" applyFont="1" applyBorder="1"/>
    <xf numFmtId="1" fontId="0" fillId="0" borderId="65" xfId="1" applyNumberFormat="1" applyFont="1" applyBorder="1"/>
    <xf numFmtId="1" fontId="0" fillId="0" borderId="38" xfId="1" applyNumberFormat="1" applyFont="1" applyBorder="1"/>
    <xf numFmtId="1" fontId="2" fillId="2" borderId="9" xfId="1" applyNumberFormat="1" applyFont="1" applyFill="1" applyBorder="1" applyAlignment="1">
      <alignment horizontal="right" vertical="center"/>
    </xf>
    <xf numFmtId="1" fontId="0" fillId="0" borderId="29" xfId="0" applyNumberFormat="1" applyFont="1" applyBorder="1"/>
    <xf numFmtId="0" fontId="0" fillId="0" borderId="23" xfId="0" applyFont="1" applyBorder="1"/>
    <xf numFmtId="168" fontId="0" fillId="0" borderId="23" xfId="0" applyNumberFormat="1" applyFont="1" applyFill="1" applyBorder="1"/>
    <xf numFmtId="0" fontId="2" fillId="2" borderId="2" xfId="0" applyFont="1" applyFill="1" applyBorder="1" applyAlignment="1">
      <alignment horizontal="left" wrapText="1"/>
    </xf>
    <xf numFmtId="0" fontId="0" fillId="0" borderId="20" xfId="0" applyFont="1" applyFill="1" applyBorder="1"/>
    <xf numFmtId="168" fontId="0" fillId="0" borderId="20" xfId="0" applyNumberFormat="1" applyFont="1" applyFill="1" applyBorder="1"/>
    <xf numFmtId="0" fontId="0" fillId="0" borderId="20" xfId="0" applyNumberFormat="1" applyFont="1" applyFill="1" applyBorder="1"/>
    <xf numFmtId="0" fontId="2" fillId="2" borderId="4" xfId="0" applyFont="1" applyFill="1" applyBorder="1" applyAlignment="1">
      <alignment horizontal="center" wrapText="1"/>
    </xf>
    <xf numFmtId="1" fontId="2" fillId="2" borderId="35" xfId="0" applyNumberFormat="1" applyFont="1" applyFill="1" applyBorder="1"/>
    <xf numFmtId="1" fontId="2" fillId="2" borderId="42" xfId="0" applyNumberFormat="1" applyFont="1" applyFill="1" applyBorder="1"/>
    <xf numFmtId="1" fontId="2" fillId="2" borderId="59" xfId="0" applyNumberFormat="1" applyFont="1" applyFill="1" applyBorder="1"/>
    <xf numFmtId="168" fontId="2" fillId="2" borderId="21" xfId="0" applyNumberFormat="1" applyFont="1" applyFill="1" applyBorder="1"/>
    <xf numFmtId="166" fontId="0" fillId="0" borderId="0" xfId="0" applyNumberFormat="1" applyFont="1"/>
    <xf numFmtId="0" fontId="2" fillId="2" borderId="8" xfId="0" applyFont="1" applyFill="1" applyBorder="1" applyAlignment="1"/>
    <xf numFmtId="167" fontId="2" fillId="2" borderId="8" xfId="1" applyNumberFormat="1" applyFont="1" applyFill="1" applyBorder="1" applyAlignment="1"/>
    <xf numFmtId="167" fontId="2" fillId="2" borderId="9" xfId="1" applyNumberFormat="1" applyFont="1" applyFill="1" applyBorder="1" applyAlignment="1"/>
    <xf numFmtId="167" fontId="0" fillId="0" borderId="27" xfId="1" applyNumberFormat="1" applyFont="1" applyBorder="1"/>
    <xf numFmtId="167" fontId="0" fillId="0" borderId="59" xfId="1" applyNumberFormat="1" applyFont="1" applyBorder="1"/>
    <xf numFmtId="168" fontId="2" fillId="2" borderId="51" xfId="0" applyNumberFormat="1" applyFont="1" applyFill="1" applyBorder="1" applyAlignment="1">
      <alignment wrapText="1"/>
    </xf>
    <xf numFmtId="164" fontId="2" fillId="2" borderId="8" xfId="1" applyNumberFormat="1" applyFont="1" applyFill="1" applyBorder="1" applyAlignment="1"/>
    <xf numFmtId="168" fontId="0" fillId="0" borderId="45" xfId="0" applyNumberFormat="1" applyBorder="1"/>
    <xf numFmtId="168" fontId="0" fillId="0" borderId="66" xfId="0" applyNumberFormat="1" applyFill="1" applyBorder="1" applyAlignment="1">
      <alignment wrapText="1"/>
    </xf>
    <xf numFmtId="168" fontId="0" fillId="0" borderId="47" xfId="0" applyNumberFormat="1" applyBorder="1"/>
    <xf numFmtId="0" fontId="2" fillId="0" borderId="0" xfId="0" applyFont="1" applyAlignment="1">
      <alignment wrapText="1"/>
    </xf>
    <xf numFmtId="14" fontId="2" fillId="2" borderId="0" xfId="0" applyNumberFormat="1" applyFont="1" applyFill="1"/>
    <xf numFmtId="0" fontId="2" fillId="0" borderId="10" xfId="0" applyFont="1" applyFill="1" applyBorder="1"/>
    <xf numFmtId="0" fontId="10" fillId="0" borderId="73" xfId="0" applyFont="1" applyFill="1" applyBorder="1" applyAlignment="1">
      <alignment horizontal="left" wrapText="1"/>
    </xf>
    <xf numFmtId="0" fontId="2" fillId="0" borderId="6" xfId="0" applyFont="1" applyFill="1" applyBorder="1" applyAlignment="1">
      <alignment horizontal="left" wrapText="1"/>
    </xf>
    <xf numFmtId="0" fontId="2" fillId="0" borderId="8" xfId="0" applyFont="1" applyFill="1" applyBorder="1" applyAlignment="1">
      <alignment horizontal="left" wrapText="1"/>
    </xf>
    <xf numFmtId="0" fontId="2" fillId="0" borderId="9" xfId="0" applyFont="1" applyFill="1" applyBorder="1" applyAlignment="1">
      <alignment horizontal="center" wrapText="1"/>
    </xf>
    <xf numFmtId="0" fontId="0" fillId="0" borderId="53" xfId="0" applyFill="1" applyBorder="1"/>
    <xf numFmtId="0" fontId="0" fillId="0" borderId="27" xfId="0" applyFill="1" applyBorder="1"/>
    <xf numFmtId="0" fontId="0" fillId="0" borderId="59" xfId="0" applyFill="1" applyBorder="1"/>
    <xf numFmtId="168" fontId="0" fillId="0" borderId="45" xfId="0" applyNumberFormat="1" applyFill="1" applyBorder="1"/>
    <xf numFmtId="168" fontId="0" fillId="0" borderId="20" xfId="0" applyNumberFormat="1" applyFill="1" applyBorder="1"/>
    <xf numFmtId="168" fontId="0" fillId="0" borderId="21" xfId="0" applyNumberFormat="1" applyFill="1" applyBorder="1"/>
    <xf numFmtId="168" fontId="0" fillId="0" borderId="0" xfId="0" applyNumberFormat="1" applyFill="1"/>
    <xf numFmtId="0" fontId="0" fillId="0" borderId="45" xfId="0" applyFill="1" applyBorder="1"/>
    <xf numFmtId="0" fontId="0" fillId="0" borderId="20" xfId="0" applyFill="1" applyBorder="1"/>
    <xf numFmtId="0" fontId="0" fillId="0" borderId="21" xfId="0" applyFill="1" applyBorder="1"/>
    <xf numFmtId="1" fontId="0" fillId="0" borderId="21" xfId="0" applyNumberFormat="1" applyFill="1" applyBorder="1"/>
    <xf numFmtId="168" fontId="0" fillId="0" borderId="50" xfId="0" applyNumberFormat="1" applyFill="1" applyBorder="1"/>
    <xf numFmtId="168" fontId="0" fillId="0" borderId="38" xfId="0" applyNumberFormat="1" applyFill="1" applyBorder="1"/>
    <xf numFmtId="168" fontId="0" fillId="0" borderId="65" xfId="0" applyNumberFormat="1" applyFill="1" applyBorder="1"/>
    <xf numFmtId="168" fontId="0" fillId="0" borderId="47" xfId="0" applyNumberFormat="1" applyFill="1" applyBorder="1"/>
    <xf numFmtId="168" fontId="0" fillId="0" borderId="29" xfId="0" applyNumberFormat="1" applyFill="1" applyBorder="1"/>
    <xf numFmtId="0" fontId="0" fillId="0" borderId="41" xfId="0" applyFill="1" applyBorder="1"/>
    <xf numFmtId="0" fontId="0" fillId="0" borderId="35" xfId="0" applyFill="1" applyBorder="1"/>
    <xf numFmtId="0" fontId="0" fillId="0" borderId="44" xfId="0" applyFill="1" applyBorder="1"/>
    <xf numFmtId="168" fontId="0" fillId="0" borderId="19" xfId="0" applyNumberFormat="1" applyFill="1" applyBorder="1"/>
    <xf numFmtId="0" fontId="0" fillId="0" borderId="19" xfId="0" applyFill="1" applyBorder="1"/>
    <xf numFmtId="168" fontId="0" fillId="0" borderId="28" xfId="0" applyNumberFormat="1" applyFill="1" applyBorder="1"/>
    <xf numFmtId="168" fontId="0" fillId="0" borderId="48" xfId="0" applyNumberFormat="1" applyFill="1" applyBorder="1"/>
    <xf numFmtId="0" fontId="0" fillId="0" borderId="41" xfId="0" applyFont="1" applyFill="1" applyBorder="1" applyAlignment="1">
      <alignment horizontal="right"/>
    </xf>
    <xf numFmtId="0" fontId="0" fillId="0" borderId="35" xfId="0" applyFont="1" applyFill="1" applyBorder="1" applyAlignment="1">
      <alignment horizontal="right"/>
    </xf>
    <xf numFmtId="0" fontId="0" fillId="0" borderId="62" xfId="0" applyFont="1" applyFill="1" applyBorder="1" applyAlignment="1">
      <alignment horizontal="right"/>
    </xf>
    <xf numFmtId="168" fontId="0" fillId="0" borderId="19" xfId="0" applyNumberFormat="1" applyFont="1" applyFill="1" applyBorder="1" applyAlignment="1">
      <alignment horizontal="right"/>
    </xf>
    <xf numFmtId="168" fontId="0" fillId="0" borderId="20" xfId="0" applyNumberFormat="1" applyFont="1" applyFill="1" applyBorder="1" applyAlignment="1">
      <alignment horizontal="right"/>
    </xf>
    <xf numFmtId="168" fontId="0" fillId="0" borderId="63" xfId="0" applyNumberFormat="1" applyFont="1" applyFill="1" applyBorder="1" applyAlignment="1">
      <alignment horizontal="right"/>
    </xf>
    <xf numFmtId="0" fontId="0" fillId="0" borderId="19" xfId="0" applyFont="1" applyFill="1" applyBorder="1" applyAlignment="1">
      <alignment horizontal="right"/>
    </xf>
    <xf numFmtId="0" fontId="0" fillId="0" borderId="20" xfId="0" applyFont="1" applyFill="1" applyBorder="1" applyAlignment="1">
      <alignment horizontal="right"/>
    </xf>
    <xf numFmtId="0" fontId="0" fillId="0" borderId="63" xfId="0" applyFont="1" applyFill="1" applyBorder="1" applyAlignment="1">
      <alignment horizontal="right"/>
    </xf>
    <xf numFmtId="168" fontId="0" fillId="0" borderId="28" xfId="0" applyNumberFormat="1" applyFont="1" applyFill="1" applyBorder="1" applyAlignment="1">
      <alignment horizontal="right"/>
    </xf>
    <xf numFmtId="168" fontId="0" fillId="0" borderId="29" xfId="0" applyNumberFormat="1" applyFont="1" applyFill="1" applyBorder="1" applyAlignment="1">
      <alignment horizontal="right"/>
    </xf>
    <xf numFmtId="168" fontId="0" fillId="0" borderId="25" xfId="0" applyNumberFormat="1" applyFont="1" applyFill="1" applyBorder="1" applyAlignment="1">
      <alignment horizontal="right"/>
    </xf>
    <xf numFmtId="167" fontId="0" fillId="0" borderId="41" xfId="1" applyNumberFormat="1" applyFont="1" applyFill="1" applyBorder="1"/>
    <xf numFmtId="167" fontId="0" fillId="0" borderId="35" xfId="1" applyNumberFormat="1" applyFont="1" applyFill="1" applyBorder="1"/>
    <xf numFmtId="167" fontId="0" fillId="0" borderId="44" xfId="1" applyNumberFormat="1" applyFont="1" applyFill="1" applyBorder="1"/>
    <xf numFmtId="168" fontId="0" fillId="0" borderId="19" xfId="1" applyNumberFormat="1" applyFont="1" applyFill="1" applyBorder="1"/>
    <xf numFmtId="168" fontId="0" fillId="0" borderId="20" xfId="1" applyNumberFormat="1" applyFont="1" applyFill="1" applyBorder="1"/>
    <xf numFmtId="168" fontId="0" fillId="0" borderId="21" xfId="1" applyNumberFormat="1" applyFont="1" applyFill="1" applyBorder="1"/>
    <xf numFmtId="167" fontId="0" fillId="0" borderId="19" xfId="1" applyNumberFormat="1" applyFont="1" applyFill="1" applyBorder="1"/>
    <xf numFmtId="167" fontId="0" fillId="0" borderId="20" xfId="1" applyNumberFormat="1" applyFont="1" applyFill="1" applyBorder="1"/>
    <xf numFmtId="167" fontId="0" fillId="0" borderId="21" xfId="1" applyNumberFormat="1" applyFont="1" applyFill="1" applyBorder="1"/>
    <xf numFmtId="168" fontId="0" fillId="0" borderId="28" xfId="1" applyNumberFormat="1" applyFont="1" applyFill="1" applyBorder="1"/>
    <xf numFmtId="168" fontId="0" fillId="0" borderId="29" xfId="1" applyNumberFormat="1" applyFont="1" applyFill="1" applyBorder="1"/>
    <xf numFmtId="168" fontId="0" fillId="0" borderId="48" xfId="1" applyNumberFormat="1" applyFont="1" applyFill="1" applyBorder="1"/>
    <xf numFmtId="168" fontId="0" fillId="0" borderId="49" xfId="1" applyNumberFormat="1" applyFont="1" applyFill="1" applyBorder="1"/>
    <xf numFmtId="168" fontId="0" fillId="0" borderId="38" xfId="1" applyNumberFormat="1" applyFont="1" applyFill="1" applyBorder="1"/>
    <xf numFmtId="168" fontId="0" fillId="0" borderId="65" xfId="1" applyNumberFormat="1" applyFont="1" applyFill="1" applyBorder="1"/>
    <xf numFmtId="167" fontId="2" fillId="0" borderId="41" xfId="0" applyNumberFormat="1" applyFont="1" applyFill="1" applyBorder="1"/>
    <xf numFmtId="167" fontId="2" fillId="0" borderId="36" xfId="0" applyNumberFormat="1" applyFont="1" applyFill="1" applyBorder="1"/>
    <xf numFmtId="168" fontId="2" fillId="0" borderId="5" xfId="0" applyNumberFormat="1" applyFont="1" applyFill="1" applyBorder="1"/>
    <xf numFmtId="168" fontId="2" fillId="0" borderId="31" xfId="0" applyNumberFormat="1" applyFont="1" applyFill="1" applyBorder="1"/>
    <xf numFmtId="0" fontId="0" fillId="0" borderId="0" xfId="0" applyAlignment="1">
      <alignment wrapText="1"/>
    </xf>
    <xf numFmtId="0" fontId="5" fillId="0" borderId="0" xfId="0" applyFont="1" applyAlignment="1">
      <alignment vertical="center"/>
    </xf>
    <xf numFmtId="171" fontId="0" fillId="0" borderId="0" xfId="1" applyNumberFormat="1" applyFont="1"/>
    <xf numFmtId="0" fontId="5" fillId="0" borderId="18" xfId="0" applyFont="1" applyFill="1" applyBorder="1" applyAlignment="1">
      <alignment vertical="top" wrapText="1"/>
    </xf>
    <xf numFmtId="9" fontId="0" fillId="0" borderId="0" xfId="3" applyFont="1"/>
    <xf numFmtId="0" fontId="5" fillId="0" borderId="0" xfId="0" applyFont="1" applyFill="1" applyBorder="1" applyAlignment="1">
      <alignment horizontal="left" wrapText="1"/>
    </xf>
    <xf numFmtId="9" fontId="0" fillId="0" borderId="0" xfId="3" applyNumberFormat="1" applyFont="1" applyAlignment="1">
      <alignment vertical="center"/>
    </xf>
    <xf numFmtId="0" fontId="0" fillId="0" borderId="0" xfId="0" applyFont="1" applyFill="1" applyBorder="1" applyAlignment="1">
      <alignment horizontal="left" vertical="top" wrapText="1"/>
    </xf>
    <xf numFmtId="0" fontId="2" fillId="0" borderId="0" xfId="0" applyFont="1" applyBorder="1" applyAlignment="1">
      <alignment horizontal="right" wrapText="1"/>
    </xf>
    <xf numFmtId="0" fontId="0" fillId="7" borderId="0" xfId="0" applyFont="1" applyFill="1" applyBorder="1" applyAlignment="1">
      <alignment wrapText="1"/>
    </xf>
    <xf numFmtId="0" fontId="0" fillId="7" borderId="0" xfId="0" applyFill="1"/>
    <xf numFmtId="0" fontId="0" fillId="0" borderId="0" xfId="0" applyFont="1" applyBorder="1" applyAlignment="1">
      <alignment horizontal="left" vertical="top" wrapText="1"/>
    </xf>
    <xf numFmtId="0" fontId="2" fillId="7" borderId="0" xfId="0" applyFont="1" applyFill="1" applyBorder="1" applyAlignment="1">
      <alignment horizontal="right" wrapText="1"/>
    </xf>
    <xf numFmtId="0" fontId="2" fillId="7" borderId="0" xfId="0" applyFont="1" applyFill="1"/>
    <xf numFmtId="9" fontId="0" fillId="7" borderId="0" xfId="3" applyFont="1" applyFill="1"/>
    <xf numFmtId="0" fontId="2" fillId="5" borderId="0" xfId="0" applyFont="1" applyFill="1" applyBorder="1" applyAlignment="1">
      <alignment wrapText="1"/>
    </xf>
    <xf numFmtId="0" fontId="0" fillId="5" borderId="0" xfId="0" applyFill="1"/>
    <xf numFmtId="0" fontId="0" fillId="5" borderId="0" xfId="0" applyFont="1" applyFill="1" applyBorder="1" applyAlignment="1">
      <alignment wrapText="1"/>
    </xf>
    <xf numFmtId="0" fontId="2" fillId="5" borderId="0" xfId="0" applyFont="1" applyFill="1" applyBorder="1" applyAlignment="1">
      <alignment horizontal="right" wrapText="1"/>
    </xf>
    <xf numFmtId="0" fontId="2" fillId="5" borderId="0" xfId="0" applyFont="1" applyFill="1"/>
    <xf numFmtId="9" fontId="2" fillId="5" borderId="0" xfId="3" applyFont="1" applyFill="1"/>
    <xf numFmtId="0" fontId="3" fillId="2" borderId="9" xfId="0" applyFont="1" applyFill="1" applyBorder="1" applyAlignment="1">
      <alignment horizontal="center" vertical="center" wrapText="1"/>
    </xf>
    <xf numFmtId="44" fontId="5" fillId="0" borderId="18" xfId="0" applyNumberFormat="1" applyFont="1" applyBorder="1" applyAlignment="1">
      <alignment horizontal="right" vertical="top" wrapText="1"/>
    </xf>
    <xf numFmtId="44" fontId="5" fillId="0" borderId="18" xfId="0" applyNumberFormat="1" applyFont="1" applyFill="1" applyBorder="1" applyAlignment="1">
      <alignment horizontal="right" vertical="top" wrapText="1"/>
    </xf>
    <xf numFmtId="44" fontId="5" fillId="0" borderId="18" xfId="0" applyNumberFormat="1" applyFont="1" applyFill="1" applyBorder="1" applyAlignment="1">
      <alignment horizontal="right" vertical="top"/>
    </xf>
    <xf numFmtId="44" fontId="5" fillId="0" borderId="68" xfId="0" applyNumberFormat="1" applyFont="1" applyBorder="1" applyAlignment="1">
      <alignment horizontal="right" vertical="top" wrapText="1"/>
    </xf>
    <xf numFmtId="44" fontId="5" fillId="0" borderId="56" xfId="0" applyNumberFormat="1" applyFont="1" applyBorder="1" applyAlignment="1">
      <alignment horizontal="right" vertical="top"/>
    </xf>
    <xf numFmtId="44" fontId="5" fillId="0" borderId="54" xfId="0" applyNumberFormat="1" applyFont="1" applyBorder="1" applyAlignment="1">
      <alignment horizontal="right" vertical="top" wrapText="1"/>
    </xf>
    <xf numFmtId="0" fontId="5" fillId="0" borderId="16" xfId="0" applyFont="1" applyBorder="1" applyAlignment="1">
      <alignment horizontal="left" vertical="top" wrapText="1"/>
    </xf>
    <xf numFmtId="0" fontId="6" fillId="0" borderId="20" xfId="0" applyFont="1" applyBorder="1" applyAlignment="1">
      <alignment vertical="top" wrapText="1"/>
    </xf>
    <xf numFmtId="164" fontId="6" fillId="0" borderId="20" xfId="2" applyNumberFormat="1" applyFont="1" applyBorder="1" applyAlignment="1">
      <alignment vertical="top" wrapText="1"/>
    </xf>
    <xf numFmtId="0" fontId="3"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17" xfId="0" applyFont="1" applyBorder="1" applyAlignment="1">
      <alignment vertical="top" wrapText="1"/>
    </xf>
    <xf numFmtId="166" fontId="5" fillId="0" borderId="17" xfId="2" applyNumberFormat="1" applyFont="1" applyBorder="1" applyAlignment="1">
      <alignment horizontal="right" vertical="top"/>
    </xf>
    <xf numFmtId="166" fontId="5" fillId="0" borderId="17" xfId="0" applyNumberFormat="1" applyFont="1" applyBorder="1" applyAlignment="1">
      <alignment horizontal="right" vertical="top"/>
    </xf>
    <xf numFmtId="44" fontId="5" fillId="0" borderId="17" xfId="0" applyNumberFormat="1" applyFont="1" applyBorder="1" applyAlignment="1">
      <alignment horizontal="left" vertical="top" wrapText="1"/>
    </xf>
    <xf numFmtId="2" fontId="5" fillId="0" borderId="17" xfId="0" applyNumberFormat="1" applyFont="1" applyFill="1" applyBorder="1" applyAlignment="1">
      <alignment horizontal="left" vertical="top" wrapText="1"/>
    </xf>
    <xf numFmtId="0" fontId="5" fillId="0" borderId="17" xfId="0" applyNumberFormat="1" applyFont="1" applyFill="1" applyBorder="1" applyAlignment="1">
      <alignment horizontal="left" vertical="top" wrapText="1"/>
    </xf>
    <xf numFmtId="0" fontId="6" fillId="0" borderId="8" xfId="0" applyFont="1" applyBorder="1" applyAlignment="1">
      <alignment vertical="top" wrapText="1"/>
    </xf>
    <xf numFmtId="164" fontId="6" fillId="0" borderId="8" xfId="2" applyNumberFormat="1" applyFont="1" applyBorder="1" applyAlignment="1">
      <alignment vertical="top" wrapText="1"/>
    </xf>
    <xf numFmtId="164" fontId="6" fillId="0" borderId="9" xfId="2" applyNumberFormat="1" applyFont="1" applyBorder="1" applyAlignment="1">
      <alignment vertical="top" wrapText="1"/>
    </xf>
    <xf numFmtId="164" fontId="6" fillId="0" borderId="18" xfId="2" applyNumberFormat="1" applyFont="1" applyBorder="1" applyAlignment="1">
      <alignment vertical="top" wrapText="1"/>
    </xf>
    <xf numFmtId="0" fontId="6" fillId="0" borderId="2" xfId="0" applyFont="1" applyBorder="1" applyAlignment="1">
      <alignment vertical="top" wrapText="1"/>
    </xf>
    <xf numFmtId="164" fontId="6" fillId="0" borderId="2" xfId="2" applyNumberFormat="1" applyFont="1" applyBorder="1" applyAlignment="1">
      <alignment vertical="top" wrapText="1"/>
    </xf>
    <xf numFmtId="0" fontId="5" fillId="0" borderId="17" xfId="0" applyFont="1" applyBorder="1" applyAlignment="1">
      <alignment horizontal="left" vertical="top"/>
    </xf>
    <xf numFmtId="164" fontId="5" fillId="0" borderId="8" xfId="2" applyNumberFormat="1" applyFont="1" applyBorder="1" applyAlignment="1">
      <alignment vertical="top"/>
    </xf>
    <xf numFmtId="164" fontId="6" fillId="0" borderId="56" xfId="2" applyNumberFormat="1" applyFont="1" applyBorder="1" applyAlignment="1">
      <alignment vertical="top" wrapText="1"/>
    </xf>
    <xf numFmtId="164" fontId="5" fillId="0" borderId="9" xfId="2" applyNumberFormat="1" applyFont="1" applyBorder="1" applyAlignment="1">
      <alignment vertical="top"/>
    </xf>
    <xf numFmtId="0" fontId="5" fillId="0" borderId="68" xfId="0" applyFont="1" applyBorder="1" applyAlignment="1">
      <alignment horizontal="left" vertical="top" wrapText="1"/>
    </xf>
    <xf numFmtId="44" fontId="5" fillId="0" borderId="16" xfId="0" applyNumberFormat="1" applyFont="1" applyBorder="1" applyAlignment="1">
      <alignment horizontal="left" vertical="top" wrapText="1"/>
    </xf>
    <xf numFmtId="44" fontId="5" fillId="0" borderId="16" xfId="0" applyNumberFormat="1" applyFont="1" applyBorder="1" applyAlignment="1">
      <alignment horizontal="right" vertical="top" wrapText="1"/>
    </xf>
    <xf numFmtId="0" fontId="6" fillId="0" borderId="17" xfId="0" applyFont="1" applyBorder="1" applyAlignment="1">
      <alignment horizontal="left" vertical="top" wrapText="1"/>
    </xf>
    <xf numFmtId="0" fontId="5" fillId="0" borderId="23" xfId="0" applyFont="1" applyFill="1" applyBorder="1" applyAlignment="1">
      <alignment horizontal="left" vertical="top" wrapText="1"/>
    </xf>
    <xf numFmtId="164" fontId="6" fillId="0" borderId="23" xfId="2" applyNumberFormat="1" applyFont="1" applyBorder="1" applyAlignment="1">
      <alignment vertical="top" wrapText="1"/>
    </xf>
    <xf numFmtId="0" fontId="5" fillId="0" borderId="23" xfId="0" applyFont="1" applyBorder="1" applyAlignment="1">
      <alignment vertical="top" wrapText="1"/>
    </xf>
    <xf numFmtId="0" fontId="5" fillId="0" borderId="23" xfId="0" applyFont="1" applyBorder="1" applyAlignment="1">
      <alignment horizontal="left" vertical="top" wrapText="1"/>
    </xf>
    <xf numFmtId="166" fontId="5" fillId="0" borderId="23" xfId="0" applyNumberFormat="1" applyFont="1" applyBorder="1" applyAlignment="1">
      <alignment horizontal="right" vertical="top"/>
    </xf>
    <xf numFmtId="0" fontId="5" fillId="0" borderId="37" xfId="0" applyFont="1" applyBorder="1" applyAlignment="1">
      <alignment horizontal="left" vertical="top"/>
    </xf>
    <xf numFmtId="165" fontId="5" fillId="0" borderId="17" xfId="0" applyNumberFormat="1" applyFont="1" applyFill="1" applyBorder="1" applyAlignment="1">
      <alignment horizontal="left" vertical="top" wrapText="1"/>
    </xf>
    <xf numFmtId="44" fontId="5" fillId="0" borderId="58" xfId="0" applyNumberFormat="1" applyFont="1" applyFill="1" applyBorder="1" applyAlignment="1">
      <alignment horizontal="right" vertical="top"/>
    </xf>
    <xf numFmtId="44" fontId="5" fillId="0" borderId="23" xfId="0" applyNumberFormat="1" applyFont="1" applyBorder="1" applyAlignment="1">
      <alignment horizontal="right" vertical="top" wrapText="1"/>
    </xf>
    <xf numFmtId="0" fontId="6" fillId="0" borderId="17" xfId="0" applyFont="1" applyBorder="1" applyAlignment="1">
      <alignment vertical="top" wrapText="1"/>
    </xf>
    <xf numFmtId="0" fontId="7" fillId="0" borderId="16" xfId="0" applyNumberFormat="1" applyFont="1" applyFill="1" applyBorder="1" applyAlignment="1">
      <alignment horizontal="left" vertical="top" wrapText="1"/>
    </xf>
    <xf numFmtId="164" fontId="6" fillId="0" borderId="17" xfId="2" applyNumberFormat="1" applyFont="1" applyBorder="1" applyAlignment="1">
      <alignment vertical="top" wrapText="1"/>
    </xf>
    <xf numFmtId="164" fontId="6" fillId="0" borderId="68" xfId="2" applyNumberFormat="1" applyFont="1" applyBorder="1" applyAlignment="1">
      <alignment vertical="top" wrapText="1"/>
    </xf>
    <xf numFmtId="164" fontId="6" fillId="0" borderId="67" xfId="2" applyNumberFormat="1" applyFont="1" applyBorder="1" applyAlignment="1">
      <alignment vertical="top" wrapText="1"/>
    </xf>
    <xf numFmtId="0" fontId="6" fillId="0" borderId="23" xfId="0" applyFont="1" applyBorder="1" applyAlignment="1">
      <alignment vertical="top" wrapText="1"/>
    </xf>
    <xf numFmtId="0" fontId="5" fillId="0" borderId="24" xfId="0" applyFont="1" applyBorder="1" applyAlignment="1">
      <alignment horizontal="left" vertical="top" wrapText="1"/>
    </xf>
    <xf numFmtId="164" fontId="6" fillId="0" borderId="13" xfId="2" applyNumberFormat="1" applyFont="1" applyBorder="1" applyAlignment="1">
      <alignment vertical="top" wrapText="1"/>
    </xf>
    <xf numFmtId="0" fontId="6" fillId="0" borderId="16" xfId="0" applyFont="1" applyBorder="1" applyAlignment="1">
      <alignment horizontal="left" vertical="top" wrapText="1"/>
    </xf>
    <xf numFmtId="164" fontId="5" fillId="0" borderId="17" xfId="2" applyNumberFormat="1" applyFont="1" applyBorder="1" applyAlignment="1">
      <alignment vertical="top"/>
    </xf>
    <xf numFmtId="164" fontId="6" fillId="0" borderId="38" xfId="2" applyNumberFormat="1" applyFont="1" applyBorder="1" applyAlignment="1">
      <alignment vertical="top" wrapText="1"/>
    </xf>
    <xf numFmtId="44" fontId="5" fillId="0" borderId="17" xfId="0" applyNumberFormat="1" applyFont="1" applyBorder="1" applyAlignment="1">
      <alignment horizontal="right" vertical="top"/>
    </xf>
    <xf numFmtId="0" fontId="6" fillId="0" borderId="27" xfId="0" applyFont="1" applyBorder="1" applyAlignment="1">
      <alignment vertical="top" wrapText="1"/>
    </xf>
    <xf numFmtId="164" fontId="6" fillId="0" borderId="27" xfId="2" applyNumberFormat="1" applyFont="1" applyBorder="1" applyAlignment="1">
      <alignment vertical="top" wrapText="1"/>
    </xf>
    <xf numFmtId="0" fontId="6" fillId="0" borderId="38" xfId="0" applyFont="1" applyBorder="1" applyAlignment="1">
      <alignment vertical="top" wrapText="1"/>
    </xf>
    <xf numFmtId="44" fontId="5" fillId="0" borderId="68" xfId="0" applyNumberFormat="1" applyFont="1" applyFill="1" applyBorder="1" applyAlignment="1">
      <alignment horizontal="right" vertical="top"/>
    </xf>
    <xf numFmtId="44" fontId="5" fillId="0" borderId="68" xfId="0" applyNumberFormat="1" applyFont="1" applyBorder="1" applyAlignment="1">
      <alignment horizontal="right" vertical="top"/>
    </xf>
    <xf numFmtId="0" fontId="5" fillId="5" borderId="68" xfId="0" applyFont="1" applyFill="1" applyBorder="1" applyAlignment="1">
      <alignment horizontal="left" vertical="top" wrapText="1"/>
    </xf>
    <xf numFmtId="0" fontId="5" fillId="5" borderId="17" xfId="0" applyFont="1" applyFill="1" applyBorder="1" applyAlignment="1">
      <alignment horizontal="left" vertical="top" wrapText="1"/>
    </xf>
    <xf numFmtId="44" fontId="5" fillId="0" borderId="17" xfId="0" applyNumberFormat="1" applyFont="1" applyBorder="1" applyAlignment="1">
      <alignment horizontal="left" vertical="top"/>
    </xf>
    <xf numFmtId="44" fontId="5" fillId="0" borderId="16" xfId="2" applyNumberFormat="1" applyFont="1" applyBorder="1" applyAlignment="1">
      <alignment horizontal="right" vertical="top"/>
    </xf>
    <xf numFmtId="8" fontId="5" fillId="0" borderId="17" xfId="0" applyNumberFormat="1" applyFont="1" applyBorder="1" applyAlignment="1">
      <alignment horizontal="right" vertical="top" wrapText="1"/>
    </xf>
    <xf numFmtId="165" fontId="5" fillId="5" borderId="17" xfId="0" applyNumberFormat="1" applyFont="1" applyFill="1" applyBorder="1" applyAlignment="1">
      <alignment horizontal="left" vertical="top" wrapText="1"/>
    </xf>
    <xf numFmtId="0" fontId="5" fillId="0" borderId="16" xfId="0" applyFont="1" applyBorder="1" applyAlignment="1">
      <alignment vertical="top" wrapText="1"/>
    </xf>
    <xf numFmtId="0" fontId="6" fillId="0" borderId="16" xfId="0" applyFont="1" applyFill="1" applyBorder="1" applyAlignment="1">
      <alignment horizontal="left" vertical="top" wrapText="1"/>
    </xf>
    <xf numFmtId="44" fontId="5" fillId="0" borderId="17" xfId="0" applyNumberFormat="1" applyFont="1" applyFill="1" applyBorder="1" applyAlignment="1">
      <alignment horizontal="right" vertical="top" wrapText="1"/>
    </xf>
    <xf numFmtId="44" fontId="6" fillId="0" borderId="16" xfId="2" applyNumberFormat="1" applyFont="1" applyFill="1" applyBorder="1" applyAlignment="1">
      <alignment horizontal="left" vertical="top"/>
    </xf>
    <xf numFmtId="44" fontId="6" fillId="0" borderId="17" xfId="2" applyNumberFormat="1" applyFont="1" applyFill="1" applyBorder="1" applyAlignment="1">
      <alignment horizontal="left" vertical="top"/>
    </xf>
    <xf numFmtId="164" fontId="5" fillId="0" borderId="67" xfId="2" applyNumberFormat="1" applyFont="1" applyBorder="1" applyAlignment="1">
      <alignment vertical="top"/>
    </xf>
    <xf numFmtId="164" fontId="6" fillId="0" borderId="59" xfId="2" applyNumberFormat="1" applyFont="1" applyBorder="1" applyAlignment="1">
      <alignment vertical="top" wrapText="1"/>
    </xf>
    <xf numFmtId="164" fontId="6" fillId="0" borderId="65" xfId="2" applyNumberFormat="1" applyFont="1" applyBorder="1" applyAlignment="1">
      <alignment vertical="top" wrapText="1"/>
    </xf>
    <xf numFmtId="44" fontId="5" fillId="0" borderId="67" xfId="0" applyNumberFormat="1" applyFont="1" applyBorder="1" applyAlignment="1">
      <alignment horizontal="right" vertical="top"/>
    </xf>
    <xf numFmtId="164" fontId="6" fillId="0" borderId="0" xfId="2" applyNumberFormat="1" applyFont="1" applyBorder="1" applyAlignment="1">
      <alignment vertical="top" wrapText="1"/>
    </xf>
    <xf numFmtId="164" fontId="5" fillId="0" borderId="0" xfId="2" applyNumberFormat="1" applyFont="1" applyBorder="1" applyAlignment="1">
      <alignment vertical="top"/>
    </xf>
    <xf numFmtId="0" fontId="3" fillId="0" borderId="0" xfId="0" applyFont="1" applyFill="1" applyBorder="1" applyAlignment="1">
      <alignment horizontal="center" vertical="center" wrapText="1"/>
    </xf>
    <xf numFmtId="0" fontId="3" fillId="2" borderId="56" xfId="0" applyFont="1" applyFill="1" applyBorder="1" applyAlignment="1">
      <alignment horizontal="center" vertical="center" wrapText="1"/>
    </xf>
    <xf numFmtId="14" fontId="0" fillId="0" borderId="0" xfId="0" applyNumberFormat="1"/>
    <xf numFmtId="44" fontId="0" fillId="0" borderId="0" xfId="2" applyFont="1"/>
    <xf numFmtId="44" fontId="0" fillId="0" borderId="0" xfId="2" applyNumberFormat="1" applyFont="1"/>
    <xf numFmtId="170" fontId="0" fillId="0" borderId="0" xfId="3" applyNumberFormat="1" applyFont="1"/>
    <xf numFmtId="167" fontId="0" fillId="0" borderId="0" xfId="1" applyNumberFormat="1" applyFont="1" applyAlignment="1">
      <alignment vertical="top"/>
    </xf>
    <xf numFmtId="0" fontId="6" fillId="0" borderId="16" xfId="0" applyFont="1" applyBorder="1" applyAlignment="1">
      <alignment vertical="top" wrapText="1"/>
    </xf>
    <xf numFmtId="44" fontId="5" fillId="0" borderId="17" xfId="2" applyNumberFormat="1" applyFont="1" applyBorder="1" applyAlignment="1">
      <alignment horizontal="right" vertical="top"/>
    </xf>
    <xf numFmtId="0" fontId="5" fillId="0" borderId="17" xfId="0" applyFont="1" applyFill="1" applyBorder="1" applyAlignment="1">
      <alignment horizontal="right" vertical="top"/>
    </xf>
    <xf numFmtId="164" fontId="6" fillId="0" borderId="15" xfId="2" applyNumberFormat="1" applyFont="1" applyBorder="1" applyAlignment="1">
      <alignment vertical="top" wrapText="1"/>
    </xf>
    <xf numFmtId="0" fontId="5" fillId="0" borderId="16" xfId="0" applyFont="1" applyBorder="1" applyAlignment="1">
      <alignment horizontal="left" vertical="top"/>
    </xf>
    <xf numFmtId="44" fontId="5" fillId="0" borderId="2" xfId="0" applyNumberFormat="1" applyFont="1" applyBorder="1" applyAlignment="1">
      <alignment horizontal="right" vertical="top" wrapText="1"/>
    </xf>
    <xf numFmtId="44" fontId="5" fillId="0" borderId="0" xfId="0" applyNumberFormat="1" applyFont="1"/>
    <xf numFmtId="44" fontId="5" fillId="0" borderId="18" xfId="0" applyNumberFormat="1" applyFont="1" applyBorder="1" applyAlignment="1">
      <alignment horizontal="left" vertical="top" wrapText="1"/>
    </xf>
    <xf numFmtId="44" fontId="5" fillId="0" borderId="68" xfId="0" applyNumberFormat="1" applyFont="1" applyBorder="1" applyAlignment="1">
      <alignment horizontal="left" vertical="top" wrapText="1"/>
    </xf>
    <xf numFmtId="164" fontId="5" fillId="0" borderId="0" xfId="0" applyNumberFormat="1" applyFont="1" applyFill="1" applyBorder="1" applyAlignment="1">
      <alignment horizontal="right" vertical="top"/>
    </xf>
    <xf numFmtId="164" fontId="5" fillId="0" borderId="8" xfId="0" applyNumberFormat="1" applyFont="1" applyBorder="1" applyAlignment="1">
      <alignment horizontal="right" vertical="top" wrapText="1"/>
    </xf>
    <xf numFmtId="164" fontId="5" fillId="0" borderId="17" xfId="0" applyNumberFormat="1" applyFont="1" applyBorder="1" applyAlignment="1">
      <alignment horizontal="right" vertical="top"/>
    </xf>
    <xf numFmtId="164" fontId="5" fillId="0" borderId="0" xfId="0" applyNumberFormat="1" applyFont="1"/>
    <xf numFmtId="44" fontId="5" fillId="0" borderId="0" xfId="0" applyNumberFormat="1" applyFont="1" applyFill="1"/>
    <xf numFmtId="0" fontId="13" fillId="0" borderId="0" xfId="0" applyFont="1" applyAlignment="1">
      <alignment horizontal="right" vertical="top"/>
    </xf>
    <xf numFmtId="164" fontId="5" fillId="0" borderId="0" xfId="0" applyNumberFormat="1" applyFont="1" applyFill="1"/>
    <xf numFmtId="164" fontId="5" fillId="0" borderId="0" xfId="0" applyNumberFormat="1" applyFont="1" applyFill="1" applyAlignment="1">
      <alignment horizontal="right" vertical="top"/>
    </xf>
    <xf numFmtId="0" fontId="5" fillId="0" borderId="0" xfId="0" applyFont="1" applyAlignment="1">
      <alignment vertical="top" wrapText="1"/>
    </xf>
    <xf numFmtId="0" fontId="5" fillId="0" borderId="0" xfId="0" applyFont="1" applyFill="1" applyBorder="1" applyAlignment="1">
      <alignment horizontal="left" vertical="top" wrapText="1"/>
    </xf>
    <xf numFmtId="0" fontId="5" fillId="0" borderId="14" xfId="0" applyFont="1" applyBorder="1" applyAlignment="1">
      <alignment horizontal="left" vertical="top"/>
    </xf>
    <xf numFmtId="0" fontId="5" fillId="0" borderId="22" xfId="0" applyFont="1" applyBorder="1" applyAlignment="1">
      <alignment horizontal="left" vertical="top"/>
    </xf>
    <xf numFmtId="0" fontId="5" fillId="0" borderId="24" xfId="0" applyFont="1" applyFill="1" applyBorder="1" applyAlignment="1">
      <alignment horizontal="left" vertical="top" wrapText="1"/>
    </xf>
    <xf numFmtId="49" fontId="5" fillId="0" borderId="8" xfId="0" applyNumberFormat="1" applyFont="1" applyFill="1" applyBorder="1" applyAlignment="1">
      <alignment horizontal="left" vertical="top" wrapText="1"/>
    </xf>
    <xf numFmtId="0" fontId="5" fillId="0" borderId="54" xfId="0" applyFont="1" applyFill="1" applyBorder="1" applyAlignment="1">
      <alignment horizontal="left" vertical="top" wrapText="1"/>
    </xf>
    <xf numFmtId="0" fontId="5" fillId="3" borderId="17" xfId="0" applyFont="1" applyFill="1" applyBorder="1" applyAlignment="1">
      <alignment vertical="top" wrapText="1"/>
    </xf>
    <xf numFmtId="0" fontId="5" fillId="0" borderId="17" xfId="0" applyFont="1" applyFill="1" applyBorder="1" applyAlignment="1">
      <alignment vertical="top" wrapText="1"/>
    </xf>
    <xf numFmtId="0" fontId="5" fillId="5" borderId="8" xfId="0" applyFont="1" applyFill="1" applyBorder="1" applyAlignment="1">
      <alignment vertical="top" wrapText="1"/>
    </xf>
    <xf numFmtId="0" fontId="6" fillId="0" borderId="23" xfId="0" applyFont="1" applyBorder="1" applyAlignment="1">
      <alignment horizontal="left" vertical="top" wrapText="1"/>
    </xf>
    <xf numFmtId="0" fontId="5" fillId="0" borderId="6" xfId="0" applyNumberFormat="1" applyFont="1" applyBorder="1" applyAlignment="1">
      <alignment horizontal="left" vertical="top" wrapText="1"/>
    </xf>
    <xf numFmtId="1" fontId="5" fillId="0" borderId="6" xfId="0" applyNumberFormat="1" applyFont="1" applyBorder="1" applyAlignment="1">
      <alignment horizontal="left" vertical="top" wrapText="1"/>
    </xf>
    <xf numFmtId="1" fontId="5" fillId="0" borderId="18" xfId="0" applyNumberFormat="1" applyFont="1" applyBorder="1" applyAlignment="1">
      <alignment horizontal="left" vertical="top" wrapText="1"/>
    </xf>
    <xf numFmtId="166" fontId="5" fillId="0" borderId="23" xfId="2" applyNumberFormat="1" applyFont="1" applyBorder="1" applyAlignment="1">
      <alignment horizontal="right" vertical="top"/>
    </xf>
    <xf numFmtId="166" fontId="5" fillId="0" borderId="8" xfId="2" applyNumberFormat="1" applyFont="1" applyFill="1" applyBorder="1" applyAlignment="1">
      <alignment horizontal="right" vertical="top"/>
    </xf>
    <xf numFmtId="44" fontId="6" fillId="0" borderId="16" xfId="2" applyNumberFormat="1" applyFont="1" applyBorder="1" applyAlignment="1">
      <alignment horizontal="left" vertical="top" wrapText="1"/>
    </xf>
    <xf numFmtId="166" fontId="5" fillId="0" borderId="2" xfId="2" applyNumberFormat="1" applyFont="1" applyBorder="1" applyAlignment="1">
      <alignment horizontal="right" vertical="top" wrapText="1"/>
    </xf>
    <xf numFmtId="166" fontId="5" fillId="0" borderId="17" xfId="0" applyNumberFormat="1" applyFont="1" applyBorder="1" applyAlignment="1">
      <alignment horizontal="right" vertical="top" wrapText="1"/>
    </xf>
    <xf numFmtId="166" fontId="5" fillId="0" borderId="2" xfId="0" applyNumberFormat="1" applyFont="1" applyBorder="1" applyAlignment="1">
      <alignment horizontal="right" vertical="top" wrapText="1"/>
    </xf>
    <xf numFmtId="44" fontId="5" fillId="0" borderId="2" xfId="0" applyNumberFormat="1" applyFont="1" applyBorder="1" applyAlignment="1">
      <alignment horizontal="left" vertical="top" wrapText="1"/>
    </xf>
    <xf numFmtId="44" fontId="5" fillId="0" borderId="37" xfId="0" applyNumberFormat="1" applyFont="1" applyBorder="1" applyAlignment="1">
      <alignment horizontal="right" vertical="top"/>
    </xf>
    <xf numFmtId="44" fontId="5" fillId="0" borderId="8" xfId="0" applyNumberFormat="1" applyFont="1" applyFill="1" applyBorder="1" applyAlignment="1">
      <alignment horizontal="right" vertical="top"/>
    </xf>
    <xf numFmtId="44" fontId="5" fillId="0" borderId="8" xfId="2" applyFont="1" applyBorder="1" applyAlignment="1">
      <alignment horizontal="right" vertical="top" wrapText="1"/>
    </xf>
    <xf numFmtId="44" fontId="5" fillId="0" borderId="56" xfId="0" applyNumberFormat="1" applyFont="1" applyBorder="1" applyAlignment="1">
      <alignment horizontal="right" vertical="top" wrapText="1"/>
    </xf>
    <xf numFmtId="44" fontId="5" fillId="0" borderId="7" xfId="0" applyNumberFormat="1" applyFont="1" applyBorder="1" applyAlignment="1">
      <alignment horizontal="right" vertical="top" wrapText="1"/>
    </xf>
    <xf numFmtId="44" fontId="6" fillId="0" borderId="68" xfId="2" applyNumberFormat="1" applyFont="1" applyBorder="1" applyAlignment="1">
      <alignment vertical="top" wrapText="1"/>
    </xf>
    <xf numFmtId="0" fontId="5" fillId="0" borderId="1" xfId="0" applyFont="1" applyFill="1" applyBorder="1" applyAlignment="1">
      <alignment horizontal="left" vertical="top"/>
    </xf>
    <xf numFmtId="0" fontId="6" fillId="0" borderId="1" xfId="0" applyFont="1" applyBorder="1" applyAlignment="1">
      <alignment horizontal="left" vertical="top" wrapText="1"/>
    </xf>
    <xf numFmtId="0" fontId="5" fillId="0" borderId="37" xfId="0" applyFont="1" applyFill="1" applyBorder="1" applyAlignment="1">
      <alignment horizontal="left" vertical="top" wrapText="1"/>
    </xf>
    <xf numFmtId="0" fontId="5" fillId="3" borderId="23" xfId="0" applyFont="1" applyFill="1" applyBorder="1" applyAlignment="1">
      <alignment horizontal="left" vertical="top" wrapText="1"/>
    </xf>
    <xf numFmtId="0" fontId="7" fillId="0" borderId="23" xfId="0" applyNumberFormat="1" applyFont="1" applyFill="1" applyBorder="1" applyAlignment="1">
      <alignment horizontal="left" vertical="top" wrapText="1"/>
    </xf>
    <xf numFmtId="0" fontId="5" fillId="0" borderId="23" xfId="0" applyNumberFormat="1" applyFont="1" applyBorder="1" applyAlignment="1">
      <alignment horizontal="left" vertical="top" wrapText="1"/>
    </xf>
    <xf numFmtId="0" fontId="5" fillId="3" borderId="3" xfId="0" applyFont="1" applyFill="1" applyBorder="1" applyAlignment="1">
      <alignment horizontal="left" vertical="top" wrapText="1"/>
    </xf>
    <xf numFmtId="49" fontId="5" fillId="0" borderId="16" xfId="0" applyNumberFormat="1" applyFont="1" applyFill="1" applyBorder="1" applyAlignment="1">
      <alignment horizontal="left" vertical="top" wrapText="1"/>
    </xf>
    <xf numFmtId="0" fontId="6" fillId="0" borderId="17" xfId="0" applyFont="1" applyFill="1" applyBorder="1" applyAlignment="1">
      <alignment horizontal="left" vertical="top" wrapText="1"/>
    </xf>
    <xf numFmtId="0" fontId="5" fillId="5" borderId="23" xfId="0" applyFont="1" applyFill="1" applyBorder="1" applyAlignment="1">
      <alignment horizontal="left" vertical="top" wrapText="1"/>
    </xf>
    <xf numFmtId="2" fontId="5" fillId="5" borderId="17" xfId="0" applyNumberFormat="1" applyFont="1" applyFill="1" applyBorder="1" applyAlignment="1">
      <alignment horizontal="left" vertical="top" wrapText="1"/>
    </xf>
    <xf numFmtId="0" fontId="5" fillId="0" borderId="68" xfId="0" applyFont="1" applyFill="1" applyBorder="1" applyAlignment="1">
      <alignment horizontal="left" vertical="top" wrapText="1"/>
    </xf>
    <xf numFmtId="0" fontId="5" fillId="5" borderId="17" xfId="0" applyNumberFormat="1" applyFont="1" applyFill="1" applyBorder="1" applyAlignment="1">
      <alignment horizontal="left" vertical="top" wrapText="1"/>
    </xf>
    <xf numFmtId="165" fontId="5" fillId="0" borderId="2" xfId="0" applyNumberFormat="1" applyFont="1" applyBorder="1" applyAlignment="1">
      <alignment horizontal="left" vertical="top" wrapText="1"/>
    </xf>
    <xf numFmtId="0" fontId="6" fillId="0" borderId="23" xfId="0" applyFont="1" applyFill="1" applyBorder="1" applyAlignment="1">
      <alignment horizontal="left" vertical="top" wrapText="1"/>
    </xf>
    <xf numFmtId="0" fontId="6" fillId="0" borderId="24" xfId="0" applyFont="1" applyBorder="1" applyAlignment="1">
      <alignment horizontal="left" vertical="top" wrapText="1"/>
    </xf>
    <xf numFmtId="3" fontId="5" fillId="0" borderId="17" xfId="0" applyNumberFormat="1" applyFont="1" applyFill="1" applyBorder="1" applyAlignment="1">
      <alignment horizontal="left" vertical="top" wrapText="1"/>
    </xf>
    <xf numFmtId="3" fontId="5" fillId="0" borderId="16" xfId="0" applyNumberFormat="1" applyFont="1" applyFill="1" applyBorder="1" applyAlignment="1">
      <alignment horizontal="left" vertical="top" wrapText="1"/>
    </xf>
    <xf numFmtId="0" fontId="6" fillId="0" borderId="8" xfId="0" applyNumberFormat="1" applyFont="1" applyBorder="1" applyAlignment="1">
      <alignment horizontal="left" vertical="top" wrapText="1"/>
    </xf>
    <xf numFmtId="0" fontId="5" fillId="0" borderId="3" xfId="0" applyFont="1" applyBorder="1" applyAlignment="1">
      <alignment horizontal="left" vertical="top"/>
    </xf>
    <xf numFmtId="1" fontId="5" fillId="0" borderId="17" xfId="0" applyNumberFormat="1" applyFont="1" applyFill="1" applyBorder="1" applyAlignment="1">
      <alignment horizontal="left" vertical="top" wrapText="1"/>
    </xf>
    <xf numFmtId="0" fontId="5" fillId="0" borderId="17" xfId="0" applyNumberFormat="1" applyFont="1" applyBorder="1" applyAlignment="1">
      <alignment horizontal="left" vertical="top" wrapText="1"/>
    </xf>
    <xf numFmtId="166" fontId="5" fillId="0" borderId="24" xfId="2" applyNumberFormat="1" applyFont="1" applyBorder="1" applyAlignment="1">
      <alignment vertical="top"/>
    </xf>
    <xf numFmtId="44" fontId="5" fillId="0" borderId="2" xfId="2" applyNumberFormat="1" applyFont="1" applyBorder="1" applyAlignment="1">
      <alignment vertical="top" wrapText="1"/>
    </xf>
    <xf numFmtId="44" fontId="6" fillId="0" borderId="16" xfId="2" applyNumberFormat="1" applyFont="1" applyFill="1" applyBorder="1" applyAlignment="1">
      <alignment horizontal="left" vertical="top" wrapText="1"/>
    </xf>
    <xf numFmtId="44" fontId="6" fillId="0" borderId="3" xfId="2" applyNumberFormat="1" applyFont="1" applyBorder="1" applyAlignment="1">
      <alignment horizontal="left" vertical="top" wrapText="1"/>
    </xf>
    <xf numFmtId="44" fontId="6" fillId="0" borderId="17" xfId="2" applyNumberFormat="1" applyFont="1" applyBorder="1" applyAlignment="1">
      <alignment horizontal="left" vertical="top"/>
    </xf>
    <xf numFmtId="44" fontId="5" fillId="0" borderId="6" xfId="2" applyNumberFormat="1" applyFont="1" applyFill="1" applyBorder="1" applyAlignment="1">
      <alignment horizontal="right" vertical="top"/>
    </xf>
    <xf numFmtId="44" fontId="6" fillId="0" borderId="8" xfId="0" applyNumberFormat="1" applyFont="1" applyFill="1" applyBorder="1" applyAlignment="1">
      <alignment horizontal="right" vertical="top" wrapText="1"/>
    </xf>
    <xf numFmtId="44" fontId="5" fillId="0" borderId="16" xfId="0" applyNumberFormat="1" applyFont="1" applyFill="1" applyBorder="1" applyAlignment="1">
      <alignment horizontal="left" vertical="top"/>
    </xf>
    <xf numFmtId="44" fontId="5" fillId="0" borderId="6" xfId="0" applyNumberFormat="1" applyFont="1" applyFill="1" applyBorder="1" applyAlignment="1">
      <alignment horizontal="left" vertical="top" wrapText="1"/>
    </xf>
    <xf numFmtId="44" fontId="5" fillId="0" borderId="3" xfId="0" applyNumberFormat="1" applyFont="1" applyBorder="1" applyAlignment="1">
      <alignment horizontal="left" vertical="top" wrapText="1"/>
    </xf>
    <xf numFmtId="44" fontId="6" fillId="0" borderId="17" xfId="0" applyNumberFormat="1" applyFont="1" applyBorder="1" applyAlignment="1">
      <alignment horizontal="right" vertical="top" wrapText="1"/>
    </xf>
    <xf numFmtId="44" fontId="5" fillId="0" borderId="6" xfId="0" applyNumberFormat="1" applyFont="1" applyFill="1" applyBorder="1" applyAlignment="1">
      <alignment horizontal="right" vertical="top"/>
    </xf>
    <xf numFmtId="44" fontId="5" fillId="0" borderId="3" xfId="0" applyNumberFormat="1" applyFont="1" applyBorder="1" applyAlignment="1">
      <alignment horizontal="left" vertical="top"/>
    </xf>
    <xf numFmtId="44" fontId="5" fillId="0" borderId="17" xfId="0" applyNumberFormat="1" applyFont="1" applyFill="1" applyBorder="1" applyAlignment="1">
      <alignment horizontal="left" vertical="top"/>
    </xf>
    <xf numFmtId="44" fontId="5" fillId="0" borderId="7" xfId="0" applyNumberFormat="1" applyFont="1" applyBorder="1" applyAlignment="1">
      <alignment horizontal="left" vertical="top"/>
    </xf>
    <xf numFmtId="164" fontId="5" fillId="0" borderId="8" xfId="2" applyNumberFormat="1" applyFont="1" applyBorder="1" applyAlignment="1">
      <alignment horizontal="right" vertical="top" wrapText="1"/>
    </xf>
    <xf numFmtId="8" fontId="5" fillId="0" borderId="2" xfId="0" applyNumberFormat="1" applyFont="1" applyBorder="1" applyAlignment="1">
      <alignment horizontal="right" vertical="top" wrapText="1"/>
    </xf>
    <xf numFmtId="8" fontId="5" fillId="0" borderId="2" xfId="0" applyNumberFormat="1" applyFont="1" applyBorder="1" applyAlignment="1">
      <alignment horizontal="right" vertical="top"/>
    </xf>
    <xf numFmtId="44" fontId="5" fillId="0" borderId="2" xfId="2" applyFont="1" applyBorder="1" applyAlignment="1">
      <alignment horizontal="right" vertical="top" wrapText="1"/>
    </xf>
    <xf numFmtId="44" fontId="5" fillId="0" borderId="18" xfId="2" applyNumberFormat="1" applyFont="1" applyBorder="1" applyAlignment="1">
      <alignment horizontal="left" vertical="top" wrapText="1"/>
    </xf>
    <xf numFmtId="44" fontId="5" fillId="0" borderId="56" xfId="2" applyFont="1" applyBorder="1" applyAlignment="1">
      <alignment horizontal="right" vertical="top" wrapText="1"/>
    </xf>
    <xf numFmtId="44" fontId="5" fillId="0" borderId="56" xfId="0" applyNumberFormat="1" applyFont="1" applyBorder="1" applyAlignment="1">
      <alignment horizontal="left" vertical="top" wrapText="1"/>
    </xf>
    <xf numFmtId="44" fontId="5" fillId="0" borderId="68" xfId="0" applyNumberFormat="1" applyFont="1" applyFill="1" applyBorder="1" applyAlignment="1">
      <alignment horizontal="right" vertical="top" wrapText="1"/>
    </xf>
    <xf numFmtId="164" fontId="5" fillId="0" borderId="56" xfId="2" applyNumberFormat="1" applyFont="1" applyBorder="1" applyAlignment="1">
      <alignment vertical="top"/>
    </xf>
    <xf numFmtId="164" fontId="5" fillId="0" borderId="2" xfId="2" applyNumberFormat="1" applyFont="1" applyBorder="1" applyAlignment="1">
      <alignment vertical="top"/>
    </xf>
    <xf numFmtId="44" fontId="5" fillId="0" borderId="7" xfId="0" applyNumberFormat="1" applyFont="1" applyBorder="1" applyAlignment="1">
      <alignment horizontal="right" vertical="top"/>
    </xf>
    <xf numFmtId="44" fontId="5" fillId="0" borderId="11" xfId="0" applyNumberFormat="1" applyFont="1" applyBorder="1" applyAlignment="1">
      <alignment horizontal="right" vertical="top" wrapText="1"/>
    </xf>
    <xf numFmtId="164" fontId="6" fillId="0" borderId="6" xfId="2" applyNumberFormat="1" applyFont="1" applyBorder="1" applyAlignment="1">
      <alignment vertical="top" wrapText="1"/>
    </xf>
    <xf numFmtId="44" fontId="5" fillId="0" borderId="15" xfId="0" applyNumberFormat="1" applyFont="1" applyFill="1" applyBorder="1" applyAlignment="1">
      <alignment horizontal="right" vertical="top" wrapText="1"/>
    </xf>
    <xf numFmtId="44" fontId="5" fillId="0" borderId="18" xfId="0" applyNumberFormat="1" applyFont="1" applyBorder="1" applyAlignment="1">
      <alignment horizontal="left" vertical="top"/>
    </xf>
    <xf numFmtId="164" fontId="5" fillId="0" borderId="12" xfId="2" applyNumberFormat="1" applyFont="1" applyBorder="1" applyAlignment="1">
      <alignment vertical="top"/>
    </xf>
    <xf numFmtId="14" fontId="0" fillId="0" borderId="0" xfId="0" applyNumberFormat="1" applyAlignment="1">
      <alignment wrapText="1"/>
    </xf>
    <xf numFmtId="0" fontId="5" fillId="0" borderId="5" xfId="0" applyNumberFormat="1" applyFont="1" applyBorder="1" applyAlignment="1">
      <alignment horizontal="left" vertical="top" wrapText="1"/>
    </xf>
    <xf numFmtId="44" fontId="6" fillId="0" borderId="18" xfId="2" applyNumberFormat="1" applyFont="1" applyBorder="1" applyAlignment="1">
      <alignment vertical="top" wrapText="1"/>
    </xf>
    <xf numFmtId="44" fontId="6" fillId="0" borderId="7" xfId="2" applyNumberFormat="1" applyFont="1" applyBorder="1" applyAlignment="1">
      <alignment vertical="top" wrapText="1"/>
    </xf>
    <xf numFmtId="44" fontId="5" fillId="0" borderId="18" xfId="2" applyNumberFormat="1" applyFont="1" applyBorder="1" applyAlignment="1">
      <alignment vertical="top"/>
    </xf>
    <xf numFmtId="44" fontId="6" fillId="0" borderId="8" xfId="2" applyNumberFormat="1" applyFont="1" applyBorder="1" applyAlignment="1">
      <alignment vertical="top" wrapText="1"/>
    </xf>
    <xf numFmtId="44" fontId="6" fillId="0" borderId="54" xfId="2" applyNumberFormat="1" applyFont="1" applyBorder="1" applyAlignment="1">
      <alignment vertical="top" wrapText="1"/>
    </xf>
    <xf numFmtId="44" fontId="5" fillId="0" borderId="56" xfId="2" applyNumberFormat="1" applyFont="1" applyBorder="1" applyAlignment="1">
      <alignment vertical="top"/>
    </xf>
    <xf numFmtId="44" fontId="5" fillId="0" borderId="8" xfId="2" applyNumberFormat="1" applyFont="1" applyBorder="1" applyAlignment="1">
      <alignment vertical="top"/>
    </xf>
    <xf numFmtId="44" fontId="5" fillId="0" borderId="0" xfId="2" applyNumberFormat="1" applyFont="1" applyBorder="1" applyAlignment="1">
      <alignment vertical="top"/>
    </xf>
    <xf numFmtId="44" fontId="5" fillId="0" borderId="17" xfId="2" applyNumberFormat="1" applyFont="1" applyBorder="1" applyAlignment="1">
      <alignment vertical="top"/>
    </xf>
    <xf numFmtId="44" fontId="5" fillId="0" borderId="68" xfId="2" applyNumberFormat="1" applyFont="1" applyBorder="1" applyAlignment="1">
      <alignment vertical="top"/>
    </xf>
    <xf numFmtId="44" fontId="6" fillId="0" borderId="17" xfId="2" applyNumberFormat="1" applyFont="1" applyBorder="1" applyAlignment="1">
      <alignment vertical="top" wrapText="1"/>
    </xf>
    <xf numFmtId="44" fontId="6" fillId="0" borderId="23" xfId="2" applyNumberFormat="1" applyFont="1" applyBorder="1" applyAlignment="1">
      <alignment vertical="top" wrapText="1"/>
    </xf>
    <xf numFmtId="44" fontId="6" fillId="0" borderId="20" xfId="2" applyNumberFormat="1" applyFont="1" applyBorder="1" applyAlignment="1">
      <alignment vertical="top" wrapText="1"/>
    </xf>
    <xf numFmtId="44" fontId="6" fillId="0" borderId="38" xfId="2" applyNumberFormat="1" applyFont="1" applyBorder="1" applyAlignment="1">
      <alignment vertical="top" wrapText="1"/>
    </xf>
    <xf numFmtId="44" fontId="6" fillId="0" borderId="68" xfId="2" applyNumberFormat="1" applyFont="1" applyBorder="1" applyAlignment="1">
      <alignment horizontal="left" vertical="top" wrapText="1"/>
    </xf>
    <xf numFmtId="1" fontId="5" fillId="0" borderId="7" xfId="0" applyNumberFormat="1" applyFont="1" applyFill="1" applyBorder="1" applyAlignment="1">
      <alignment horizontal="left" vertical="top" wrapText="1"/>
    </xf>
    <xf numFmtId="1" fontId="5" fillId="0" borderId="11" xfId="0" applyNumberFormat="1" applyFont="1" applyFill="1" applyBorder="1" applyAlignment="1">
      <alignment horizontal="left" vertical="top" wrapText="1"/>
    </xf>
    <xf numFmtId="1" fontId="5" fillId="0" borderId="8" xfId="0" applyNumberFormat="1" applyFont="1" applyFill="1" applyBorder="1" applyAlignment="1">
      <alignment horizontal="left" vertical="top" wrapText="1"/>
    </xf>
    <xf numFmtId="1" fontId="5" fillId="0" borderId="8" xfId="3" applyNumberFormat="1" applyFont="1" applyBorder="1" applyAlignment="1">
      <alignment horizontal="left" vertical="top" wrapText="1"/>
    </xf>
    <xf numFmtId="3" fontId="5" fillId="0" borderId="2" xfId="0" applyNumberFormat="1" applyFont="1" applyBorder="1" applyAlignment="1">
      <alignment horizontal="left" vertical="top" wrapText="1"/>
    </xf>
    <xf numFmtId="3" fontId="5" fillId="0" borderId="17" xfId="0" applyNumberFormat="1" applyFont="1" applyBorder="1" applyAlignment="1">
      <alignment horizontal="left" vertical="top" wrapText="1"/>
    </xf>
    <xf numFmtId="0" fontId="5" fillId="0" borderId="7" xfId="0" applyNumberFormat="1" applyFont="1" applyFill="1" applyBorder="1" applyAlignment="1">
      <alignment horizontal="left" vertical="top" wrapText="1"/>
    </xf>
    <xf numFmtId="0" fontId="5" fillId="0" borderId="11" xfId="0" applyNumberFormat="1" applyFont="1" applyFill="1" applyBorder="1" applyAlignment="1">
      <alignment horizontal="left" vertical="top" wrapText="1"/>
    </xf>
    <xf numFmtId="1" fontId="5" fillId="0" borderId="17" xfId="0" applyNumberFormat="1" applyFont="1" applyBorder="1" applyAlignment="1">
      <alignment horizontal="left" vertical="top" wrapText="1"/>
    </xf>
    <xf numFmtId="0" fontId="0" fillId="0" borderId="3" xfId="0" applyBorder="1"/>
    <xf numFmtId="0" fontId="0" fillId="0" borderId="24" xfId="0" applyBorder="1"/>
    <xf numFmtId="170" fontId="0" fillId="0" borderId="3" xfId="0" applyNumberFormat="1" applyBorder="1"/>
    <xf numFmtId="170" fontId="0" fillId="0" borderId="24" xfId="0" applyNumberFormat="1" applyBorder="1"/>
    <xf numFmtId="1" fontId="0" fillId="0" borderId="6" xfId="0" applyNumberFormat="1" applyBorder="1"/>
    <xf numFmtId="0" fontId="0" fillId="0" borderId="1" xfId="0" applyBorder="1"/>
    <xf numFmtId="0" fontId="2" fillId="0" borderId="6" xfId="0" applyFont="1" applyBorder="1"/>
    <xf numFmtId="0" fontId="2" fillId="0" borderId="6" xfId="0" applyFont="1" applyBorder="1" applyAlignment="1">
      <alignment wrapText="1"/>
    </xf>
    <xf numFmtId="0" fontId="2" fillId="0" borderId="13" xfId="0" applyFont="1" applyBorder="1" applyAlignment="1">
      <alignment wrapText="1"/>
    </xf>
    <xf numFmtId="0" fontId="2" fillId="0" borderId="30" xfId="0" applyFont="1" applyBorder="1" applyAlignment="1">
      <alignment vertical="top" wrapText="1"/>
    </xf>
    <xf numFmtId="0" fontId="2" fillId="0" borderId="5" xfId="0" applyFont="1" applyBorder="1" applyAlignment="1">
      <alignment horizontal="right"/>
    </xf>
    <xf numFmtId="9" fontId="5" fillId="0" borderId="8" xfId="3" applyFont="1" applyBorder="1" applyAlignment="1">
      <alignment horizontal="left" vertical="top" wrapText="1"/>
    </xf>
    <xf numFmtId="9" fontId="5" fillId="0" borderId="2" xfId="3" applyFont="1" applyBorder="1" applyAlignment="1">
      <alignment horizontal="left" vertical="top" wrapText="1"/>
    </xf>
    <xf numFmtId="9" fontId="5" fillId="0" borderId="24" xfId="3" applyFont="1" applyBorder="1" applyAlignment="1">
      <alignment horizontal="left" vertical="top" wrapText="1"/>
    </xf>
    <xf numFmtId="9" fontId="5" fillId="0" borderId="23" xfId="3" applyFont="1" applyBorder="1" applyAlignment="1">
      <alignment horizontal="left" vertical="top" wrapText="1"/>
    </xf>
    <xf numFmtId="9" fontId="5" fillId="0" borderId="17" xfId="3" applyFont="1" applyBorder="1" applyAlignment="1">
      <alignment horizontal="left" vertical="top" wrapText="1"/>
    </xf>
    <xf numFmtId="9" fontId="5" fillId="0" borderId="16" xfId="3" applyFont="1" applyBorder="1" applyAlignment="1">
      <alignment horizontal="left" vertical="top" wrapText="1"/>
    </xf>
    <xf numFmtId="9" fontId="5" fillId="0" borderId="6" xfId="3" applyFont="1" applyBorder="1" applyAlignment="1">
      <alignment horizontal="left" vertical="top" wrapText="1"/>
    </xf>
    <xf numFmtId="9" fontId="5" fillId="0" borderId="3" xfId="3" applyFont="1" applyBorder="1" applyAlignment="1">
      <alignment horizontal="left" vertical="top" wrapText="1"/>
    </xf>
    <xf numFmtId="170" fontId="0" fillId="0" borderId="6" xfId="0" applyNumberFormat="1" applyBorder="1"/>
    <xf numFmtId="170" fontId="0" fillId="0" borderId="25" xfId="0" applyNumberFormat="1" applyBorder="1"/>
    <xf numFmtId="170" fontId="0" fillId="0" borderId="0" xfId="0" applyNumberFormat="1" applyBorder="1"/>
    <xf numFmtId="1" fontId="0" fillId="0" borderId="0" xfId="0" applyNumberFormat="1" applyBorder="1"/>
    <xf numFmtId="1" fontId="0" fillId="0" borderId="13" xfId="0" applyNumberFormat="1" applyBorder="1"/>
    <xf numFmtId="0" fontId="5" fillId="0" borderId="35" xfId="0" applyFont="1" applyBorder="1" applyAlignment="1">
      <alignment vertical="top" wrapText="1"/>
    </xf>
    <xf numFmtId="167" fontId="0" fillId="0" borderId="6" xfId="1" applyNumberFormat="1" applyFont="1" applyBorder="1"/>
    <xf numFmtId="0" fontId="0" fillId="0" borderId="4" xfId="0" applyBorder="1"/>
    <xf numFmtId="0" fontId="0" fillId="0" borderId="25" xfId="0" applyBorder="1"/>
    <xf numFmtId="167" fontId="0" fillId="0" borderId="4" xfId="1" applyNumberFormat="1" applyFont="1" applyBorder="1"/>
    <xf numFmtId="167" fontId="0" fillId="0" borderId="13" xfId="1" applyNumberFormat="1" applyFont="1" applyBorder="1"/>
    <xf numFmtId="0" fontId="2" fillId="0" borderId="0" xfId="0" applyFont="1" applyBorder="1" applyAlignment="1">
      <alignment horizontal="right"/>
    </xf>
    <xf numFmtId="0" fontId="2" fillId="0" borderId="13" xfId="0" applyFont="1" applyBorder="1"/>
    <xf numFmtId="0" fontId="2" fillId="0" borderId="8" xfId="0" applyFont="1" applyBorder="1" applyAlignment="1">
      <alignment wrapText="1"/>
    </xf>
    <xf numFmtId="167" fontId="0" fillId="0" borderId="2" xfId="1" applyNumberFormat="1" applyFont="1" applyBorder="1"/>
    <xf numFmtId="167" fontId="0" fillId="0" borderId="23" xfId="1" applyNumberFormat="1" applyFont="1" applyBorder="1"/>
    <xf numFmtId="167" fontId="0" fillId="0" borderId="8" xfId="1" applyNumberFormat="1" applyFont="1" applyBorder="1"/>
    <xf numFmtId="2" fontId="5" fillId="0" borderId="8" xfId="3" applyNumberFormat="1" applyFont="1" applyBorder="1" applyAlignment="1">
      <alignment horizontal="left" vertical="top" wrapText="1"/>
    </xf>
    <xf numFmtId="2" fontId="5" fillId="0" borderId="8" xfId="1" applyNumberFormat="1" applyFont="1" applyBorder="1" applyAlignment="1">
      <alignment horizontal="left" vertical="top" wrapText="1"/>
    </xf>
    <xf numFmtId="0" fontId="2" fillId="0" borderId="0" xfId="0" applyFont="1" applyBorder="1" applyAlignment="1">
      <alignment wrapText="1"/>
    </xf>
    <xf numFmtId="12" fontId="0" fillId="0" borderId="24" xfId="2" applyNumberFormat="1" applyFont="1" applyBorder="1" applyAlignment="1">
      <alignment horizontal="right"/>
    </xf>
    <xf numFmtId="170" fontId="0" fillId="0" borderId="24" xfId="0" applyNumberFormat="1" applyBorder="1" applyAlignment="1">
      <alignment horizontal="right"/>
    </xf>
    <xf numFmtId="170" fontId="0" fillId="0" borderId="25" xfId="0" applyNumberFormat="1" applyBorder="1" applyAlignment="1">
      <alignment horizontal="right"/>
    </xf>
    <xf numFmtId="170" fontId="0" fillId="0" borderId="13" xfId="0" applyNumberFormat="1" applyBorder="1"/>
    <xf numFmtId="171" fontId="0" fillId="0" borderId="24" xfId="1" applyNumberFormat="1" applyFont="1" applyBorder="1"/>
    <xf numFmtId="171" fontId="0" fillId="0" borderId="25" xfId="1" applyNumberFormat="1" applyFont="1" applyBorder="1"/>
    <xf numFmtId="171" fontId="0" fillId="0" borderId="6" xfId="1" applyNumberFormat="1" applyFont="1" applyBorder="1"/>
    <xf numFmtId="171" fontId="0" fillId="0" borderId="13" xfId="1" applyNumberFormat="1" applyFont="1" applyBorder="1"/>
    <xf numFmtId="0" fontId="0" fillId="0" borderId="28" xfId="0" applyBorder="1" applyAlignment="1">
      <alignment vertical="top" wrapText="1"/>
    </xf>
    <xf numFmtId="0" fontId="0" fillId="0" borderId="26" xfId="0" applyBorder="1" applyAlignment="1">
      <alignment vertical="top" wrapText="1"/>
    </xf>
    <xf numFmtId="0" fontId="0" fillId="0" borderId="28" xfId="0" applyBorder="1" applyAlignment="1">
      <alignment horizontal="left" vertical="top" wrapText="1"/>
    </xf>
    <xf numFmtId="0" fontId="0" fillId="0" borderId="26" xfId="0" applyBorder="1" applyAlignment="1">
      <alignment horizontal="left" vertical="top" wrapText="1"/>
    </xf>
    <xf numFmtId="0" fontId="2" fillId="2" borderId="1" xfId="0" applyFont="1" applyFill="1" applyBorder="1" applyAlignment="1">
      <alignment horizontal="right" wrapText="1"/>
    </xf>
    <xf numFmtId="0" fontId="2" fillId="2" borderId="37" xfId="0" applyFont="1" applyFill="1" applyBorder="1" applyAlignment="1">
      <alignment horizontal="right" wrapText="1"/>
    </xf>
    <xf numFmtId="0" fontId="8" fillId="0" borderId="15" xfId="0" applyFont="1" applyBorder="1" applyAlignment="1">
      <alignment horizontal="left"/>
    </xf>
    <xf numFmtId="0" fontId="8" fillId="0" borderId="0" xfId="0" applyFont="1" applyBorder="1" applyAlignment="1">
      <alignment horizontal="left"/>
    </xf>
    <xf numFmtId="0" fontId="0" fillId="0" borderId="22" xfId="0" applyBorder="1" applyAlignment="1">
      <alignment vertical="top" wrapText="1"/>
    </xf>
    <xf numFmtId="0" fontId="0" fillId="0" borderId="19" xfId="0" applyFont="1" applyFill="1" applyBorder="1" applyAlignment="1">
      <alignment horizontal="left" vertical="top"/>
    </xf>
    <xf numFmtId="0" fontId="2" fillId="2" borderId="41" xfId="0" applyFont="1" applyFill="1" applyBorder="1" applyAlignment="1">
      <alignment horizontal="right" wrapText="1"/>
    </xf>
    <xf numFmtId="0" fontId="2" fillId="2" borderId="49" xfId="0" applyFont="1" applyFill="1" applyBorder="1" applyAlignment="1">
      <alignment horizontal="right" wrapText="1"/>
    </xf>
    <xf numFmtId="0" fontId="2" fillId="0" borderId="15" xfId="0" applyFont="1" applyBorder="1" applyAlignment="1">
      <alignment horizontal="left"/>
    </xf>
    <xf numFmtId="0" fontId="2" fillId="0" borderId="0" xfId="0" applyFont="1" applyBorder="1" applyAlignment="1">
      <alignment horizontal="left"/>
    </xf>
    <xf numFmtId="0" fontId="0" fillId="0" borderId="26"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26" xfId="0" applyFont="1" applyBorder="1" applyAlignment="1">
      <alignment horizontal="left" vertical="top" wrapText="1"/>
    </xf>
    <xf numFmtId="0" fontId="0" fillId="0" borderId="28" xfId="0" applyFont="1" applyBorder="1" applyAlignment="1">
      <alignment horizontal="left" vertical="top" wrapText="1"/>
    </xf>
    <xf numFmtId="0" fontId="2" fillId="2" borderId="64" xfId="0" applyFont="1" applyFill="1" applyBorder="1" applyAlignment="1">
      <alignment horizontal="right"/>
    </xf>
    <xf numFmtId="0" fontId="2" fillId="2" borderId="14" xfId="0" applyFont="1" applyFill="1" applyBorder="1" applyAlignment="1">
      <alignment horizontal="right"/>
    </xf>
    <xf numFmtId="0" fontId="2" fillId="2" borderId="1" xfId="0" applyFont="1" applyFill="1" applyBorder="1" applyAlignment="1">
      <alignment horizontal="right"/>
    </xf>
    <xf numFmtId="0" fontId="2" fillId="2" borderId="37" xfId="0" applyFont="1" applyFill="1" applyBorder="1" applyAlignment="1">
      <alignment horizontal="right"/>
    </xf>
    <xf numFmtId="0" fontId="0" fillId="0" borderId="22" xfId="0" applyFont="1" applyBorder="1" applyAlignment="1">
      <alignment vertical="top"/>
    </xf>
    <xf numFmtId="0" fontId="0" fillId="0" borderId="26" xfId="0" applyFont="1" applyBorder="1" applyAlignment="1">
      <alignment vertical="top"/>
    </xf>
    <xf numFmtId="0" fontId="0" fillId="0" borderId="28" xfId="0" applyFont="1" applyBorder="1" applyAlignment="1">
      <alignment vertical="top"/>
    </xf>
    <xf numFmtId="0" fontId="2" fillId="0" borderId="0" xfId="0" applyFont="1" applyAlignment="1">
      <alignment horizontal="left"/>
    </xf>
    <xf numFmtId="0" fontId="0" fillId="0" borderId="1" xfId="0" applyFont="1" applyBorder="1" applyAlignment="1">
      <alignment vertical="top"/>
    </xf>
    <xf numFmtId="0" fontId="2" fillId="0" borderId="0" xfId="0" applyFont="1" applyFill="1" applyBorder="1" applyAlignment="1">
      <alignment horizontal="left"/>
    </xf>
    <xf numFmtId="0" fontId="2" fillId="2" borderId="22" xfId="0" applyFont="1" applyFill="1" applyBorder="1" applyAlignment="1">
      <alignment horizontal="right"/>
    </xf>
    <xf numFmtId="0" fontId="0" fillId="0" borderId="22" xfId="0" applyFont="1" applyBorder="1" applyAlignment="1">
      <alignment horizontal="left" vertical="top"/>
    </xf>
    <xf numFmtId="0" fontId="0" fillId="0" borderId="28" xfId="0" applyFont="1" applyBorder="1" applyAlignment="1">
      <alignment horizontal="left" vertical="top"/>
    </xf>
    <xf numFmtId="0" fontId="0" fillId="0" borderId="37" xfId="0" applyFont="1" applyBorder="1" applyAlignment="1">
      <alignment horizontal="left" vertical="top"/>
    </xf>
    <xf numFmtId="0" fontId="0" fillId="0" borderId="22" xfId="0" applyFont="1" applyBorder="1" applyAlignment="1">
      <alignment horizontal="left" vertical="top" wrapText="1"/>
    </xf>
    <xf numFmtId="0" fontId="0" fillId="0" borderId="22" xfId="0" applyFill="1" applyBorder="1" applyAlignment="1">
      <alignment vertical="top" wrapText="1"/>
    </xf>
    <xf numFmtId="0" fontId="0" fillId="0" borderId="26" xfId="0" applyFill="1" applyBorder="1" applyAlignment="1">
      <alignment vertical="top" wrapText="1"/>
    </xf>
    <xf numFmtId="0" fontId="0" fillId="0" borderId="28" xfId="0" applyFill="1" applyBorder="1" applyAlignment="1">
      <alignment horizontal="left" vertical="center" wrapText="1"/>
    </xf>
    <xf numFmtId="0" fontId="0" fillId="0" borderId="22" xfId="0" applyFill="1" applyBorder="1" applyAlignment="1">
      <alignment horizontal="left" vertical="center" wrapText="1"/>
    </xf>
    <xf numFmtId="0" fontId="2" fillId="0" borderId="6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167" fontId="0" fillId="0" borderId="55" xfId="1" applyNumberFormat="1" applyFont="1" applyFill="1" applyBorder="1" applyAlignment="1">
      <alignment horizontal="left" vertical="top" wrapText="1"/>
    </xf>
    <xf numFmtId="167" fontId="0" fillId="0" borderId="33" xfId="1" applyNumberFormat="1" applyFont="1" applyFill="1" applyBorder="1" applyAlignment="1">
      <alignment horizontal="left" vertical="top" wrapText="1"/>
    </xf>
    <xf numFmtId="167" fontId="0" fillId="0" borderId="72" xfId="1" applyNumberFormat="1" applyFont="1" applyFill="1" applyBorder="1" applyAlignment="1">
      <alignment horizontal="left" vertical="top" wrapText="1"/>
    </xf>
    <xf numFmtId="167" fontId="0" fillId="0" borderId="61" xfId="1" applyNumberFormat="1" applyFont="1" applyFill="1" applyBorder="1" applyAlignment="1">
      <alignment horizontal="center" vertical="center" wrapText="1"/>
    </xf>
    <xf numFmtId="167" fontId="0" fillId="0" borderId="60" xfId="1" applyNumberFormat="1" applyFont="1" applyFill="1" applyBorder="1" applyAlignment="1">
      <alignment horizontal="center" vertical="center" wrapText="1"/>
    </xf>
    <xf numFmtId="167" fontId="0" fillId="0" borderId="72" xfId="1" applyNumberFormat="1" applyFont="1" applyFill="1" applyBorder="1" applyAlignment="1">
      <alignment horizontal="center" vertical="center" wrapText="1"/>
    </xf>
    <xf numFmtId="0" fontId="0" fillId="0" borderId="61" xfId="0" applyFill="1" applyBorder="1" applyAlignment="1">
      <alignment vertical="top" wrapText="1"/>
    </xf>
    <xf numFmtId="0" fontId="0" fillId="0" borderId="33" xfId="0" applyFill="1" applyBorder="1" applyAlignment="1">
      <alignment vertical="top" wrapText="1"/>
    </xf>
    <xf numFmtId="0" fontId="0" fillId="0" borderId="55" xfId="0" applyFill="1" applyBorder="1" applyAlignment="1">
      <alignment horizontal="left" vertical="center" wrapText="1"/>
    </xf>
    <xf numFmtId="0" fontId="0" fillId="0" borderId="72" xfId="0" applyFill="1" applyBorder="1" applyAlignment="1">
      <alignment horizontal="left" vertical="center" wrapText="1"/>
    </xf>
    <xf numFmtId="0" fontId="0" fillId="0" borderId="61" xfId="0" applyFill="1" applyBorder="1" applyAlignment="1">
      <alignment horizontal="center" vertical="center"/>
    </xf>
    <xf numFmtId="0" fontId="0" fillId="0" borderId="60" xfId="0" applyFill="1" applyBorder="1" applyAlignment="1">
      <alignment horizontal="center" vertical="center"/>
    </xf>
    <xf numFmtId="0" fontId="0" fillId="0" borderId="72" xfId="0" applyFill="1" applyBorder="1" applyAlignment="1">
      <alignment horizontal="center" vertical="center"/>
    </xf>
    <xf numFmtId="0" fontId="0" fillId="0" borderId="64" xfId="0" applyFill="1" applyBorder="1" applyAlignment="1">
      <alignment horizontal="left" vertical="top"/>
    </xf>
    <xf numFmtId="0" fontId="0" fillId="0" borderId="74" xfId="0" applyFill="1" applyBorder="1" applyAlignment="1">
      <alignment horizontal="left" vertical="top"/>
    </xf>
    <xf numFmtId="0" fontId="0" fillId="0" borderId="58" xfId="0" applyFill="1" applyBorder="1" applyAlignment="1">
      <alignment horizontal="left" vertical="top"/>
    </xf>
    <xf numFmtId="0" fontId="0" fillId="0" borderId="14" xfId="0" applyFill="1" applyBorder="1" applyAlignment="1">
      <alignment horizontal="left" vertical="top"/>
    </xf>
    <xf numFmtId="167" fontId="0" fillId="0" borderId="61" xfId="1" applyNumberFormat="1" applyFont="1" applyFill="1" applyBorder="1" applyAlignment="1">
      <alignment horizontal="left" vertical="top" wrapText="1"/>
    </xf>
    <xf numFmtId="0" fontId="0" fillId="0" borderId="64" xfId="0" applyFont="1" applyFill="1" applyBorder="1" applyAlignment="1">
      <alignment vertical="top"/>
    </xf>
    <xf numFmtId="0" fontId="0" fillId="0" borderId="74" xfId="0" applyFont="1" applyFill="1" applyBorder="1" applyAlignment="1">
      <alignment vertical="top"/>
    </xf>
    <xf numFmtId="0" fontId="0" fillId="0" borderId="57" xfId="0" applyFont="1" applyFill="1" applyBorder="1" applyAlignment="1">
      <alignment vertical="top"/>
    </xf>
    <xf numFmtId="0" fontId="0" fillId="0" borderId="57" xfId="0" applyFont="1" applyFill="1" applyBorder="1" applyAlignment="1">
      <alignment vertical="top" wrapText="1"/>
    </xf>
    <xf numFmtId="0" fontId="0" fillId="0" borderId="14" xfId="0" applyFont="1" applyFill="1" applyBorder="1" applyAlignment="1">
      <alignment vertical="top" wrapText="1"/>
    </xf>
    <xf numFmtId="0" fontId="0" fillId="0" borderId="61" xfId="0" applyFont="1" applyFill="1" applyBorder="1" applyAlignment="1">
      <alignment vertical="top"/>
    </xf>
    <xf numFmtId="0" fontId="0" fillId="0" borderId="72" xfId="0" applyFont="1" applyFill="1" applyBorder="1" applyAlignment="1">
      <alignment vertical="top"/>
    </xf>
    <xf numFmtId="0" fontId="0" fillId="0" borderId="57" xfId="0" applyFill="1" applyBorder="1" applyAlignment="1">
      <alignment horizontal="left" vertical="top"/>
    </xf>
    <xf numFmtId="0" fontId="0" fillId="0" borderId="60" xfId="0" applyFill="1" applyBorder="1" applyAlignment="1">
      <alignment horizontal="left" vertical="top" wrapText="1"/>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0" borderId="14" xfId="0" applyFill="1" applyBorder="1" applyAlignment="1">
      <alignment horizontal="center" vertical="center"/>
    </xf>
    <xf numFmtId="0" fontId="0" fillId="0" borderId="36" xfId="0" applyFill="1" applyBorder="1" applyAlignment="1">
      <alignment horizontal="left" vertical="top"/>
    </xf>
    <xf numFmtId="0" fontId="0" fillId="0" borderId="52" xfId="0" applyFill="1" applyBorder="1" applyAlignment="1">
      <alignment horizontal="left" vertical="top"/>
    </xf>
    <xf numFmtId="0" fontId="0" fillId="0" borderId="52" xfId="0" applyFill="1" applyBorder="1" applyAlignment="1">
      <alignment horizontal="left" vertical="center" wrapText="1"/>
    </xf>
    <xf numFmtId="0" fontId="0" fillId="0" borderId="52" xfId="0" applyFill="1" applyBorder="1" applyAlignment="1">
      <alignment vertical="top" wrapText="1"/>
    </xf>
    <xf numFmtId="0" fontId="0" fillId="0" borderId="52" xfId="0" applyFill="1" applyBorder="1" applyAlignment="1">
      <alignment horizontal="left" vertical="top" wrapText="1"/>
    </xf>
    <xf numFmtId="0" fontId="0" fillId="0" borderId="55" xfId="0" applyFill="1" applyBorder="1" applyAlignment="1">
      <alignment horizontal="left" vertical="top"/>
    </xf>
  </cellXfs>
  <cellStyles count="7">
    <cellStyle name="Comma" xfId="1" builtinId="3"/>
    <cellStyle name="Currency" xfId="2" builtinId="4"/>
    <cellStyle name="Currency 2 7" xfId="4"/>
    <cellStyle name="Normal" xfId="0" builtinId="0"/>
    <cellStyle name="Normal 11" xfId="5"/>
    <cellStyle name="Percent" xfId="3" builtinId="5"/>
    <cellStyle name="Percent 11"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 Category vs. QPI Measure Type</a:t>
            </a:r>
          </a:p>
        </c:rich>
      </c:tx>
      <c:overlay val="0"/>
      <c:spPr>
        <a:noFill/>
        <a:ln>
          <a:noFill/>
        </a:ln>
        <a:effectLst/>
      </c:spPr>
    </c:title>
    <c:autoTitleDeleted val="0"/>
    <c:plotArea>
      <c:layout/>
      <c:barChart>
        <c:barDir val="col"/>
        <c:grouping val="clustered"/>
        <c:varyColors val="0"/>
        <c:ser>
          <c:idx val="0"/>
          <c:order val="0"/>
          <c:tx>
            <c:strRef>
              <c:f>'QPI Analysis'!$B$2</c:f>
              <c:strCache>
                <c:ptCount val="1"/>
                <c:pt idx="0">
                  <c:v>Individuals </c:v>
                </c:pt>
              </c:strCache>
            </c:strRef>
          </c:tx>
          <c:spPr>
            <a:solidFill>
              <a:schemeClr val="accent1"/>
            </a:solidFill>
            <a:ln>
              <a:noFill/>
            </a:ln>
            <a:effectLst/>
          </c:spPr>
          <c:invertIfNegative val="0"/>
          <c:cat>
            <c:strRef>
              <c:f>'QPI Analysis'!$A$3:$A$10</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Analysis'!$B$3:$B$10</c:f>
              <c:numCache>
                <c:formatCode>General</c:formatCode>
                <c:ptCount val="8"/>
                <c:pt idx="0">
                  <c:v>46</c:v>
                </c:pt>
                <c:pt idx="1">
                  <c:v>5</c:v>
                </c:pt>
                <c:pt idx="2">
                  <c:v>3</c:v>
                </c:pt>
                <c:pt idx="3">
                  <c:v>14</c:v>
                </c:pt>
                <c:pt idx="4">
                  <c:v>2</c:v>
                </c:pt>
                <c:pt idx="5">
                  <c:v>14</c:v>
                </c:pt>
                <c:pt idx="6">
                  <c:v>14</c:v>
                </c:pt>
                <c:pt idx="7">
                  <c:v>5</c:v>
                </c:pt>
              </c:numCache>
            </c:numRef>
          </c:val>
        </c:ser>
        <c:ser>
          <c:idx val="1"/>
          <c:order val="1"/>
          <c:tx>
            <c:strRef>
              <c:f>'QPI Analysis'!$C$2</c:f>
              <c:strCache>
                <c:ptCount val="1"/>
                <c:pt idx="0">
                  <c:v>Encounters</c:v>
                </c:pt>
              </c:strCache>
            </c:strRef>
          </c:tx>
          <c:spPr>
            <a:solidFill>
              <a:schemeClr val="accent2"/>
            </a:solidFill>
            <a:ln>
              <a:noFill/>
            </a:ln>
            <a:effectLst/>
          </c:spPr>
          <c:invertIfNegative val="0"/>
          <c:cat>
            <c:strRef>
              <c:f>'QPI Analysis'!$A$3:$A$10</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Analysis'!$C$3:$C$10</c:f>
              <c:numCache>
                <c:formatCode>General</c:formatCode>
                <c:ptCount val="8"/>
                <c:pt idx="0">
                  <c:v>11</c:v>
                </c:pt>
                <c:pt idx="1">
                  <c:v>27</c:v>
                </c:pt>
                <c:pt idx="2">
                  <c:v>25</c:v>
                </c:pt>
                <c:pt idx="3">
                  <c:v>0</c:v>
                </c:pt>
                <c:pt idx="4">
                  <c:v>1</c:v>
                </c:pt>
                <c:pt idx="5">
                  <c:v>2</c:v>
                </c:pt>
                <c:pt idx="6">
                  <c:v>1</c:v>
                </c:pt>
                <c:pt idx="7">
                  <c:v>2</c:v>
                </c:pt>
              </c:numCache>
            </c:numRef>
          </c:val>
        </c:ser>
        <c:dLbls>
          <c:showLegendKey val="0"/>
          <c:showVal val="0"/>
          <c:showCatName val="0"/>
          <c:showSerName val="0"/>
          <c:showPercent val="0"/>
          <c:showBubbleSize val="0"/>
        </c:dLbls>
        <c:gapWidth val="219"/>
        <c:overlap val="-27"/>
        <c:axId val="131937792"/>
        <c:axId val="152884736"/>
      </c:barChart>
      <c:catAx>
        <c:axId val="131937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Project Category</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884736"/>
        <c:crosses val="autoZero"/>
        <c:auto val="1"/>
        <c:lblAlgn val="ctr"/>
        <c:lblOffset val="100"/>
        <c:noMultiLvlLbl val="0"/>
      </c:catAx>
      <c:valAx>
        <c:axId val="152884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QPI Measure Type</a:t>
                </a:r>
              </a:p>
            </c:rich>
          </c:tx>
          <c:layout>
            <c:manualLayout>
              <c:xMode val="edge"/>
              <c:yMode val="edge"/>
              <c:x val="2.1133739127010168E-2"/>
              <c:y val="0.3673549689099699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937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9.0227544695716547E-2"/>
          <c:y val="0.14214125212197656"/>
          <c:w val="0.63845444074864444"/>
          <c:h val="0.55040442460718264"/>
        </c:manualLayout>
      </c:layout>
      <c:bar3DChart>
        <c:barDir val="col"/>
        <c:grouping val="clustered"/>
        <c:varyColors val="0"/>
        <c:ser>
          <c:idx val="0"/>
          <c:order val="0"/>
          <c:tx>
            <c:strRef>
              <c:f>'BH (T+G)'!$B$19</c:f>
              <c:strCache>
                <c:ptCount val="1"/>
                <c:pt idx="0">
                  <c:v>Change in Use</c:v>
                </c:pt>
              </c:strCache>
            </c:strRef>
          </c:tx>
          <c:invertIfNegative val="0"/>
          <c:cat>
            <c:strRef>
              <c:f>'BH (T+G)'!$A$20:$A$33</c:f>
              <c:strCache>
                <c:ptCount val="13"/>
                <c:pt idx="0">
                  <c:v>Case Management</c:v>
                </c:pt>
                <c:pt idx="2">
                  <c:v>Crisis Stabilization</c:v>
                </c:pt>
                <c:pt idx="4">
                  <c:v>Expand Behavioral Health</c:v>
                </c:pt>
                <c:pt idx="6">
                  <c:v>Health Education</c:v>
                </c:pt>
                <c:pt idx="8">
                  <c:v>Integrated Care</c:v>
                </c:pt>
                <c:pt idx="10">
                  <c:v>Navigation/Case Management </c:v>
                </c:pt>
                <c:pt idx="12">
                  <c:v>Registry/Data Sharing</c:v>
                </c:pt>
              </c:strCache>
            </c:strRef>
          </c:cat>
          <c:val>
            <c:numRef>
              <c:f>'BH (T+G)'!$B$20:$B$33</c:f>
              <c:numCache>
                <c:formatCode>"$"#,##0</c:formatCode>
                <c:ptCount val="14"/>
                <c:pt idx="0" formatCode="General">
                  <c:v>1</c:v>
                </c:pt>
                <c:pt idx="1">
                  <c:v>515685</c:v>
                </c:pt>
                <c:pt idx="2" formatCode="General">
                  <c:v>5</c:v>
                </c:pt>
                <c:pt idx="3">
                  <c:v>70138528.659999996</c:v>
                </c:pt>
                <c:pt idx="4" formatCode="General">
                  <c:v>2</c:v>
                </c:pt>
                <c:pt idx="5">
                  <c:v>21893401</c:v>
                </c:pt>
                <c:pt idx="8" formatCode="General">
                  <c:v>4</c:v>
                </c:pt>
                <c:pt idx="9">
                  <c:v>41171927.420000002</c:v>
                </c:pt>
                <c:pt idx="10" formatCode="General">
                  <c:v>7</c:v>
                </c:pt>
                <c:pt idx="11">
                  <c:v>66935270.519999996</c:v>
                </c:pt>
                <c:pt idx="12" formatCode="General">
                  <c:v>1</c:v>
                </c:pt>
                <c:pt idx="13">
                  <c:v>4652262</c:v>
                </c:pt>
              </c:numCache>
            </c:numRef>
          </c:val>
        </c:ser>
        <c:ser>
          <c:idx val="1"/>
          <c:order val="1"/>
          <c:tx>
            <c:strRef>
              <c:f>'BH (T+G)'!$C$19</c:f>
              <c:strCache>
                <c:ptCount val="1"/>
                <c:pt idx="0">
                  <c:v>Change in Health</c:v>
                </c:pt>
              </c:strCache>
            </c:strRef>
          </c:tx>
          <c:invertIfNegative val="0"/>
          <c:cat>
            <c:strRef>
              <c:f>'BH (T+G)'!$A$20:$A$33</c:f>
              <c:strCache>
                <c:ptCount val="13"/>
                <c:pt idx="0">
                  <c:v>Case Management</c:v>
                </c:pt>
                <c:pt idx="2">
                  <c:v>Crisis Stabilization</c:v>
                </c:pt>
                <c:pt idx="4">
                  <c:v>Expand Behavioral Health</c:v>
                </c:pt>
                <c:pt idx="6">
                  <c:v>Health Education</c:v>
                </c:pt>
                <c:pt idx="8">
                  <c:v>Integrated Care</c:v>
                </c:pt>
                <c:pt idx="10">
                  <c:v>Navigation/Case Management </c:v>
                </c:pt>
                <c:pt idx="12">
                  <c:v>Registry/Data Sharing</c:v>
                </c:pt>
              </c:strCache>
            </c:strRef>
          </c:cat>
          <c:val>
            <c:numRef>
              <c:f>'BH (T+G)'!$C$20:$C$33</c:f>
              <c:numCache>
                <c:formatCode>"$"#,##0</c:formatCode>
                <c:ptCount val="14"/>
                <c:pt idx="2" formatCode="General">
                  <c:v>3</c:v>
                </c:pt>
                <c:pt idx="3">
                  <c:v>35053300.490000002</c:v>
                </c:pt>
                <c:pt idx="4" formatCode="General">
                  <c:v>8</c:v>
                </c:pt>
                <c:pt idx="5">
                  <c:v>93750957.100000009</c:v>
                </c:pt>
                <c:pt idx="8" formatCode="General">
                  <c:v>8</c:v>
                </c:pt>
                <c:pt idx="9">
                  <c:v>105147322.92</c:v>
                </c:pt>
              </c:numCache>
            </c:numRef>
          </c:val>
        </c:ser>
        <c:ser>
          <c:idx val="2"/>
          <c:order val="2"/>
          <c:tx>
            <c:strRef>
              <c:f>'BH (T+G)'!$D$19</c:f>
              <c:strCache>
                <c:ptCount val="1"/>
                <c:pt idx="0">
                  <c:v>Change in Satisfaction </c:v>
                </c:pt>
              </c:strCache>
            </c:strRef>
          </c:tx>
          <c:invertIfNegative val="0"/>
          <c:cat>
            <c:strRef>
              <c:f>'BH (T+G)'!$A$20:$A$33</c:f>
              <c:strCache>
                <c:ptCount val="13"/>
                <c:pt idx="0">
                  <c:v>Case Management</c:v>
                </c:pt>
                <c:pt idx="2">
                  <c:v>Crisis Stabilization</c:v>
                </c:pt>
                <c:pt idx="4">
                  <c:v>Expand Behavioral Health</c:v>
                </c:pt>
                <c:pt idx="6">
                  <c:v>Health Education</c:v>
                </c:pt>
                <c:pt idx="8">
                  <c:v>Integrated Care</c:v>
                </c:pt>
                <c:pt idx="10">
                  <c:v>Navigation/Case Management </c:v>
                </c:pt>
                <c:pt idx="12">
                  <c:v>Registry/Data Sharing</c:v>
                </c:pt>
              </c:strCache>
            </c:strRef>
          </c:cat>
          <c:val>
            <c:numRef>
              <c:f>'BH (T+G)'!$D$20:$D$33</c:f>
              <c:numCache>
                <c:formatCode>"$"#,##0</c:formatCode>
                <c:ptCount val="14"/>
                <c:pt idx="6" formatCode="General">
                  <c:v>1</c:v>
                </c:pt>
                <c:pt idx="7">
                  <c:v>230392</c:v>
                </c:pt>
                <c:pt idx="8" formatCode="General">
                  <c:v>1</c:v>
                </c:pt>
                <c:pt idx="9">
                  <c:v>7582304.6600000001</c:v>
                </c:pt>
              </c:numCache>
            </c:numRef>
          </c:val>
        </c:ser>
        <c:ser>
          <c:idx val="3"/>
          <c:order val="3"/>
          <c:tx>
            <c:strRef>
              <c:f>'BH (T+G)'!$E$19</c:f>
              <c:strCache>
                <c:ptCount val="1"/>
                <c:pt idx="0">
                  <c:v>Change in Use/Change in Health</c:v>
                </c:pt>
              </c:strCache>
            </c:strRef>
          </c:tx>
          <c:invertIfNegative val="0"/>
          <c:cat>
            <c:strRef>
              <c:f>'BH (T+G)'!$A$20:$A$33</c:f>
              <c:strCache>
                <c:ptCount val="13"/>
                <c:pt idx="0">
                  <c:v>Case Management</c:v>
                </c:pt>
                <c:pt idx="2">
                  <c:v>Crisis Stabilization</c:v>
                </c:pt>
                <c:pt idx="4">
                  <c:v>Expand Behavioral Health</c:v>
                </c:pt>
                <c:pt idx="6">
                  <c:v>Health Education</c:v>
                </c:pt>
                <c:pt idx="8">
                  <c:v>Integrated Care</c:v>
                </c:pt>
                <c:pt idx="10">
                  <c:v>Navigation/Case Management </c:v>
                </c:pt>
                <c:pt idx="12">
                  <c:v>Registry/Data Sharing</c:v>
                </c:pt>
              </c:strCache>
            </c:strRef>
          </c:cat>
          <c:val>
            <c:numRef>
              <c:f>'BH (T+G)'!$E$20:$E$33</c:f>
              <c:numCache>
                <c:formatCode>"$"#,##0</c:formatCode>
                <c:ptCount val="14"/>
                <c:pt idx="4" formatCode="General">
                  <c:v>3</c:v>
                </c:pt>
                <c:pt idx="5">
                  <c:v>35823598.149999999</c:v>
                </c:pt>
                <c:pt idx="8" formatCode="General">
                  <c:v>1</c:v>
                </c:pt>
                <c:pt idx="9">
                  <c:v>18040966</c:v>
                </c:pt>
                <c:pt idx="10" formatCode="General">
                  <c:v>1</c:v>
                </c:pt>
                <c:pt idx="11">
                  <c:v>2850091.96</c:v>
                </c:pt>
              </c:numCache>
            </c:numRef>
          </c:val>
        </c:ser>
        <c:ser>
          <c:idx val="4"/>
          <c:order val="4"/>
          <c:tx>
            <c:strRef>
              <c:f>'BH (T+G)'!$F$19</c:f>
              <c:strCache>
                <c:ptCount val="1"/>
                <c:pt idx="0">
                  <c:v>Change in Health/Change in Satisfaction</c:v>
                </c:pt>
              </c:strCache>
            </c:strRef>
          </c:tx>
          <c:invertIfNegative val="0"/>
          <c:cat>
            <c:strRef>
              <c:f>'BH (T+G)'!$A$20:$A$33</c:f>
              <c:strCache>
                <c:ptCount val="13"/>
                <c:pt idx="0">
                  <c:v>Case Management</c:v>
                </c:pt>
                <c:pt idx="2">
                  <c:v>Crisis Stabilization</c:v>
                </c:pt>
                <c:pt idx="4">
                  <c:v>Expand Behavioral Health</c:v>
                </c:pt>
                <c:pt idx="6">
                  <c:v>Health Education</c:v>
                </c:pt>
                <c:pt idx="8">
                  <c:v>Integrated Care</c:v>
                </c:pt>
                <c:pt idx="10">
                  <c:v>Navigation/Case Management </c:v>
                </c:pt>
                <c:pt idx="12">
                  <c:v>Registry/Data Sharing</c:v>
                </c:pt>
              </c:strCache>
            </c:strRef>
          </c:cat>
          <c:val>
            <c:numRef>
              <c:f>'BH (T+G)'!$F$20:$F$33</c:f>
              <c:numCache>
                <c:formatCode>General</c:formatCode>
                <c:ptCount val="14"/>
                <c:pt idx="2">
                  <c:v>6</c:v>
                </c:pt>
                <c:pt idx="3" formatCode="&quot;$&quot;#,##0">
                  <c:v>52239538.679999992</c:v>
                </c:pt>
                <c:pt idx="4">
                  <c:v>4</c:v>
                </c:pt>
                <c:pt idx="5" formatCode="&quot;$&quot;#,##0">
                  <c:v>15683862.029999999</c:v>
                </c:pt>
              </c:numCache>
            </c:numRef>
          </c:val>
        </c:ser>
        <c:ser>
          <c:idx val="5"/>
          <c:order val="5"/>
          <c:tx>
            <c:strRef>
              <c:f>'BH (T+G)'!#REF!</c:f>
              <c:strCache>
                <c:ptCount val="1"/>
                <c:pt idx="0">
                  <c:v>#REF!</c:v>
                </c:pt>
              </c:strCache>
            </c:strRef>
          </c:tx>
          <c:invertIfNegative val="0"/>
          <c:cat>
            <c:strRef>
              <c:f>'BH (T+G)'!$A$20:$A$33</c:f>
              <c:strCache>
                <c:ptCount val="13"/>
                <c:pt idx="0">
                  <c:v>Case Management</c:v>
                </c:pt>
                <c:pt idx="2">
                  <c:v>Crisis Stabilization</c:v>
                </c:pt>
                <c:pt idx="4">
                  <c:v>Expand Behavioral Health</c:v>
                </c:pt>
                <c:pt idx="6">
                  <c:v>Health Education</c:v>
                </c:pt>
                <c:pt idx="8">
                  <c:v>Integrated Care</c:v>
                </c:pt>
                <c:pt idx="10">
                  <c:v>Navigation/Case Management </c:v>
                </c:pt>
                <c:pt idx="12">
                  <c:v>Registry/Data Sharing</c:v>
                </c:pt>
              </c:strCache>
            </c:strRef>
          </c:cat>
          <c:val>
            <c:numRef>
              <c:f>'BH (T+G)'!#REF!</c:f>
              <c:numCache>
                <c:formatCode>General</c:formatCode>
                <c:ptCount val="1"/>
                <c:pt idx="0">
                  <c:v>1</c:v>
                </c:pt>
              </c:numCache>
            </c:numRef>
          </c:val>
        </c:ser>
        <c:dLbls>
          <c:showLegendKey val="0"/>
          <c:showVal val="0"/>
          <c:showCatName val="0"/>
          <c:showSerName val="0"/>
          <c:showPercent val="0"/>
          <c:showBubbleSize val="0"/>
        </c:dLbls>
        <c:gapWidth val="150"/>
        <c:shape val="cylinder"/>
        <c:axId val="121307136"/>
        <c:axId val="121308672"/>
        <c:axId val="0"/>
      </c:bar3DChart>
      <c:catAx>
        <c:axId val="121307136"/>
        <c:scaling>
          <c:orientation val="minMax"/>
        </c:scaling>
        <c:delete val="0"/>
        <c:axPos val="b"/>
        <c:numFmt formatCode="General" sourceLinked="0"/>
        <c:majorTickMark val="out"/>
        <c:minorTickMark val="none"/>
        <c:tickLblPos val="nextTo"/>
        <c:crossAx val="121308672"/>
        <c:crosses val="autoZero"/>
        <c:auto val="1"/>
        <c:lblAlgn val="ctr"/>
        <c:lblOffset val="100"/>
        <c:noMultiLvlLbl val="0"/>
      </c:catAx>
      <c:valAx>
        <c:axId val="121308672"/>
        <c:scaling>
          <c:orientation val="minMax"/>
        </c:scaling>
        <c:delete val="0"/>
        <c:axPos val="l"/>
        <c:majorGridlines/>
        <c:numFmt formatCode="General" sourceLinked="1"/>
        <c:majorTickMark val="out"/>
        <c:minorTickMark val="none"/>
        <c:tickLblPos val="nextTo"/>
        <c:crossAx val="121307136"/>
        <c:crosses val="autoZero"/>
        <c:crossBetween val="between"/>
      </c:valAx>
    </c:plotArea>
    <c:legend>
      <c:legendPos val="r"/>
      <c:layout>
        <c:manualLayout>
          <c:xMode val="edge"/>
          <c:yMode val="edge"/>
          <c:x val="0.76706924960393663"/>
          <c:y val="0.20478622750346448"/>
          <c:w val="0.23195396358110518"/>
          <c:h val="0.44547462565982543"/>
        </c:manualLayout>
      </c:layout>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Project</a:t>
            </a:r>
            <a:r>
              <a:rPr lang="en-US" baseline="0"/>
              <a:t> Type vs. Total Projects and Total Providers</a:t>
            </a:r>
            <a:endParaRPr lang="en-US"/>
          </a:p>
        </c:rich>
      </c:tx>
      <c:layout>
        <c:manualLayout>
          <c:xMode val="edge"/>
          <c:yMode val="edge"/>
          <c:x val="0.20800433223717368"/>
          <c:y val="4.945792345062603E-2"/>
        </c:manualLayout>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3721631671041212"/>
          <c:y val="0.19480351414406533"/>
          <c:w val="0.7052758089099096"/>
          <c:h val="0.42612210059108468"/>
        </c:manualLayout>
      </c:layout>
      <c:bar3DChart>
        <c:barDir val="col"/>
        <c:grouping val="clustered"/>
        <c:varyColors val="0"/>
        <c:ser>
          <c:idx val="0"/>
          <c:order val="0"/>
          <c:tx>
            <c:strRef>
              <c:f>'CC (T+G)'!$B$1</c:f>
              <c:strCache>
                <c:ptCount val="1"/>
                <c:pt idx="0">
                  <c:v>Total Projects </c:v>
                </c:pt>
              </c:strCache>
            </c:strRef>
          </c:tx>
          <c:invertIfNegative val="0"/>
          <c:cat>
            <c:strRef>
              <c:f>'CC (T+G)'!$A$2:$A$7</c:f>
              <c:strCache>
                <c:ptCount val="6"/>
                <c:pt idx="0">
                  <c:v>Health Education </c:v>
                </c:pt>
                <c:pt idx="1">
                  <c:v>Navigation/Case Management</c:v>
                </c:pt>
                <c:pt idx="2">
                  <c:v>Navigation/Case Management/Home Care</c:v>
                </c:pt>
                <c:pt idx="3">
                  <c:v>Prevention/Wellness</c:v>
                </c:pt>
                <c:pt idx="4">
                  <c:v>Registry/Data Sharing</c:v>
                </c:pt>
                <c:pt idx="5">
                  <c:v>Screening and Treatment</c:v>
                </c:pt>
              </c:strCache>
            </c:strRef>
          </c:cat>
          <c:val>
            <c:numRef>
              <c:f>'CC (T+G)'!$B$2:$B$7</c:f>
              <c:numCache>
                <c:formatCode>General</c:formatCode>
                <c:ptCount val="6"/>
                <c:pt idx="0">
                  <c:v>2</c:v>
                </c:pt>
                <c:pt idx="1">
                  <c:v>6</c:v>
                </c:pt>
                <c:pt idx="2">
                  <c:v>1</c:v>
                </c:pt>
                <c:pt idx="3">
                  <c:v>1</c:v>
                </c:pt>
                <c:pt idx="4">
                  <c:v>3</c:v>
                </c:pt>
                <c:pt idx="5">
                  <c:v>1</c:v>
                </c:pt>
              </c:numCache>
            </c:numRef>
          </c:val>
        </c:ser>
        <c:ser>
          <c:idx val="1"/>
          <c:order val="1"/>
          <c:tx>
            <c:strRef>
              <c:f>'CC (T+G)'!$C$1</c:f>
              <c:strCache>
                <c:ptCount val="1"/>
                <c:pt idx="0">
                  <c:v>Total Providers </c:v>
                </c:pt>
              </c:strCache>
            </c:strRef>
          </c:tx>
          <c:invertIfNegative val="0"/>
          <c:val>
            <c:numRef>
              <c:f>'CC (T+G)'!$C$2:$C$7</c:f>
              <c:numCache>
                <c:formatCode>General</c:formatCode>
                <c:ptCount val="6"/>
                <c:pt idx="0">
                  <c:v>2</c:v>
                </c:pt>
                <c:pt idx="1">
                  <c:v>5</c:v>
                </c:pt>
                <c:pt idx="2">
                  <c:v>1</c:v>
                </c:pt>
                <c:pt idx="3">
                  <c:v>1</c:v>
                </c:pt>
                <c:pt idx="4">
                  <c:v>3</c:v>
                </c:pt>
                <c:pt idx="5">
                  <c:v>1</c:v>
                </c:pt>
              </c:numCache>
            </c:numRef>
          </c:val>
        </c:ser>
        <c:dLbls>
          <c:showLegendKey val="0"/>
          <c:showVal val="0"/>
          <c:showCatName val="0"/>
          <c:showSerName val="0"/>
          <c:showPercent val="0"/>
          <c:showBubbleSize val="0"/>
        </c:dLbls>
        <c:gapWidth val="150"/>
        <c:shape val="cylinder"/>
        <c:axId val="121347072"/>
        <c:axId val="121348864"/>
        <c:axId val="0"/>
      </c:bar3DChart>
      <c:catAx>
        <c:axId val="121347072"/>
        <c:scaling>
          <c:orientation val="minMax"/>
        </c:scaling>
        <c:delete val="0"/>
        <c:axPos val="b"/>
        <c:numFmt formatCode="General" sourceLinked="1"/>
        <c:majorTickMark val="out"/>
        <c:minorTickMark val="none"/>
        <c:tickLblPos val="nextTo"/>
        <c:crossAx val="121348864"/>
        <c:crosses val="autoZero"/>
        <c:auto val="1"/>
        <c:lblAlgn val="ctr"/>
        <c:lblOffset val="100"/>
        <c:noMultiLvlLbl val="0"/>
      </c:catAx>
      <c:valAx>
        <c:axId val="121348864"/>
        <c:scaling>
          <c:orientation val="minMax"/>
        </c:scaling>
        <c:delete val="0"/>
        <c:axPos val="l"/>
        <c:majorGridlines/>
        <c:numFmt formatCode="General" sourceLinked="1"/>
        <c:majorTickMark val="out"/>
        <c:minorTickMark val="none"/>
        <c:tickLblPos val="nextTo"/>
        <c:crossAx val="121347072"/>
        <c:crosses val="autoZero"/>
        <c:crossBetween val="between"/>
      </c:valAx>
    </c:plotArea>
    <c:legend>
      <c:legendPos val="r"/>
      <c:layout>
        <c:manualLayout>
          <c:xMode val="edge"/>
          <c:yMode val="edge"/>
          <c:x val="0.81475131233595965"/>
          <c:y val="0.31205818022747461"/>
          <c:w val="0.18524868145425152"/>
          <c:h val="0.34194731947814699"/>
        </c:manualLayout>
      </c:layout>
      <c:overlay val="0"/>
    </c:legend>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Project Type vs. Total Incentive Payment</a:t>
            </a:r>
            <a:r>
              <a:rPr lang="en-US" baseline="0"/>
              <a:t> Amount DY3-5 for Cat 1, 2 and 3</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5105792469010684"/>
          <c:y val="0.19082793222275787"/>
          <c:w val="0.68577479795223617"/>
          <c:h val="0.39170817933472918"/>
        </c:manualLayout>
      </c:layout>
      <c:bar3DChart>
        <c:barDir val="col"/>
        <c:grouping val="clustered"/>
        <c:varyColors val="0"/>
        <c:ser>
          <c:idx val="0"/>
          <c:order val="0"/>
          <c:tx>
            <c:strRef>
              <c:f>'CC (T+G)'!$D$1</c:f>
              <c:strCache>
                <c:ptCount val="1"/>
                <c:pt idx="0">
                  <c:v>Total Incentive Payment Amount DY2-5 for Cat 1, 2, 3 </c:v>
                </c:pt>
              </c:strCache>
            </c:strRef>
          </c:tx>
          <c:invertIfNegative val="0"/>
          <c:cat>
            <c:strRef>
              <c:f>'CC (T+G)'!$A$2:$A$7</c:f>
              <c:strCache>
                <c:ptCount val="6"/>
                <c:pt idx="0">
                  <c:v>Health Education </c:v>
                </c:pt>
                <c:pt idx="1">
                  <c:v>Navigation/Case Management</c:v>
                </c:pt>
                <c:pt idx="2">
                  <c:v>Navigation/Case Management/Home Care</c:v>
                </c:pt>
                <c:pt idx="3">
                  <c:v>Prevention/Wellness</c:v>
                </c:pt>
                <c:pt idx="4">
                  <c:v>Registry/Data Sharing</c:v>
                </c:pt>
                <c:pt idx="5">
                  <c:v>Screening and Treatment</c:v>
                </c:pt>
              </c:strCache>
            </c:strRef>
          </c:cat>
          <c:val>
            <c:numRef>
              <c:f>'CC (T+G)'!$D$2:$D$7</c:f>
              <c:numCache>
                <c:formatCode>_("$"* #,##0_);_("$"* \(#,##0\);_("$"* "-"??_);_(@_)</c:formatCode>
                <c:ptCount val="6"/>
                <c:pt idx="0">
                  <c:v>3686129</c:v>
                </c:pt>
                <c:pt idx="1">
                  <c:v>53509714.582491584</c:v>
                </c:pt>
                <c:pt idx="2">
                  <c:v>17470564</c:v>
                </c:pt>
                <c:pt idx="3">
                  <c:v>15456990</c:v>
                </c:pt>
                <c:pt idx="4">
                  <c:v>37851473.185937643</c:v>
                </c:pt>
                <c:pt idx="5">
                  <c:v>4723759</c:v>
                </c:pt>
              </c:numCache>
            </c:numRef>
          </c:val>
        </c:ser>
        <c:dLbls>
          <c:showLegendKey val="0"/>
          <c:showVal val="0"/>
          <c:showCatName val="0"/>
          <c:showSerName val="0"/>
          <c:showPercent val="0"/>
          <c:showBubbleSize val="0"/>
        </c:dLbls>
        <c:gapWidth val="150"/>
        <c:shape val="cylinder"/>
        <c:axId val="121365248"/>
        <c:axId val="121366784"/>
        <c:axId val="0"/>
      </c:bar3DChart>
      <c:catAx>
        <c:axId val="121365248"/>
        <c:scaling>
          <c:orientation val="minMax"/>
        </c:scaling>
        <c:delete val="0"/>
        <c:axPos val="b"/>
        <c:numFmt formatCode="General" sourceLinked="1"/>
        <c:majorTickMark val="out"/>
        <c:minorTickMark val="none"/>
        <c:tickLblPos val="nextTo"/>
        <c:crossAx val="121366784"/>
        <c:crosses val="autoZero"/>
        <c:auto val="1"/>
        <c:lblAlgn val="ctr"/>
        <c:lblOffset val="100"/>
        <c:noMultiLvlLbl val="0"/>
      </c:catAx>
      <c:valAx>
        <c:axId val="121366784"/>
        <c:scaling>
          <c:orientation val="minMax"/>
        </c:scaling>
        <c:delete val="0"/>
        <c:axPos val="l"/>
        <c:majorGridlines/>
        <c:numFmt formatCode="_(&quot;$&quot;* #,##0_);_(&quot;$&quot;* \(#,##0\);_(&quot;$&quot;* &quot;-&quot;??_);_(@_)" sourceLinked="1"/>
        <c:majorTickMark val="out"/>
        <c:minorTickMark val="none"/>
        <c:tickLblPos val="nextTo"/>
        <c:crossAx val="121365248"/>
        <c:crosses val="autoZero"/>
        <c:crossBetween val="between"/>
      </c:valAx>
    </c:plotArea>
    <c:legend>
      <c:legendPos val="r"/>
      <c:layout>
        <c:manualLayout>
          <c:xMode val="edge"/>
          <c:yMode val="edge"/>
          <c:x val="0.83683272264234299"/>
          <c:y val="0.2750774010391574"/>
          <c:w val="0.1499659572256439"/>
          <c:h val="0.36356384023425847"/>
        </c:manualLayout>
      </c:layout>
      <c:overlay val="0"/>
    </c:legend>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9.4958699007494748E-2"/>
          <c:y val="0.20768722647767071"/>
          <c:w val="0.68878721332963178"/>
          <c:h val="0.53564412561172514"/>
        </c:manualLayout>
      </c:layout>
      <c:bar3DChart>
        <c:barDir val="col"/>
        <c:grouping val="clustered"/>
        <c:varyColors val="0"/>
        <c:ser>
          <c:idx val="0"/>
          <c:order val="0"/>
          <c:tx>
            <c:strRef>
              <c:f>'CC (T+G)'!$E$1</c:f>
              <c:strCache>
                <c:ptCount val="1"/>
                <c:pt idx="0">
                  <c:v>Total Individuals served during DY3-5</c:v>
                </c:pt>
              </c:strCache>
            </c:strRef>
          </c:tx>
          <c:invertIfNegative val="0"/>
          <c:cat>
            <c:strRef>
              <c:f>'CC (T+G)'!$A$2:$A$7</c:f>
              <c:strCache>
                <c:ptCount val="6"/>
                <c:pt idx="0">
                  <c:v>Health Education </c:v>
                </c:pt>
                <c:pt idx="1">
                  <c:v>Navigation/Case Management</c:v>
                </c:pt>
                <c:pt idx="2">
                  <c:v>Navigation/Case Management/Home Care</c:v>
                </c:pt>
                <c:pt idx="3">
                  <c:v>Prevention/Wellness</c:v>
                </c:pt>
                <c:pt idx="4">
                  <c:v>Registry/Data Sharing</c:v>
                </c:pt>
                <c:pt idx="5">
                  <c:v>Screening and Treatment</c:v>
                </c:pt>
              </c:strCache>
            </c:strRef>
          </c:cat>
          <c:val>
            <c:numRef>
              <c:f>'CC (T+G)'!$E$2:$E$7</c:f>
              <c:numCache>
                <c:formatCode>_(* #,##0_);_(* \(#,##0\);_(* "-"??_);_(@_)</c:formatCode>
                <c:ptCount val="6"/>
                <c:pt idx="0">
                  <c:v>3900</c:v>
                </c:pt>
                <c:pt idx="1">
                  <c:v>51414</c:v>
                </c:pt>
                <c:pt idx="2">
                  <c:v>1932</c:v>
                </c:pt>
                <c:pt idx="3">
                  <c:v>600</c:v>
                </c:pt>
                <c:pt idx="4">
                  <c:v>84516</c:v>
                </c:pt>
                <c:pt idx="5">
                  <c:v>19596</c:v>
                </c:pt>
              </c:numCache>
            </c:numRef>
          </c:val>
        </c:ser>
        <c:ser>
          <c:idx val="1"/>
          <c:order val="1"/>
          <c:tx>
            <c:strRef>
              <c:f>'CC (T+G)'!$F$1</c:f>
              <c:strCache>
                <c:ptCount val="1"/>
                <c:pt idx="0">
                  <c:v>Total Encounters provided during DY3-5</c:v>
                </c:pt>
              </c:strCache>
            </c:strRef>
          </c:tx>
          <c:invertIfNegative val="0"/>
          <c:cat>
            <c:strRef>
              <c:f>'CC (T+G)'!$A$2:$A$7</c:f>
              <c:strCache>
                <c:ptCount val="6"/>
                <c:pt idx="0">
                  <c:v>Health Education </c:v>
                </c:pt>
                <c:pt idx="1">
                  <c:v>Navigation/Case Management</c:v>
                </c:pt>
                <c:pt idx="2">
                  <c:v>Navigation/Case Management/Home Care</c:v>
                </c:pt>
                <c:pt idx="3">
                  <c:v>Prevention/Wellness</c:v>
                </c:pt>
                <c:pt idx="4">
                  <c:v>Registry/Data Sharing</c:v>
                </c:pt>
                <c:pt idx="5">
                  <c:v>Screening and Treatment</c:v>
                </c:pt>
              </c:strCache>
            </c:strRef>
          </c:cat>
          <c:val>
            <c:numRef>
              <c:f>'CC (T+G)'!$F$2:$F$7</c:f>
              <c:numCache>
                <c:formatCode>_(* #,##0_);_(* \(#,##0\);_(* "-"??_);_(@_)</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shape val="cylinder"/>
        <c:axId val="121580928"/>
        <c:axId val="121595008"/>
        <c:axId val="0"/>
      </c:bar3DChart>
      <c:catAx>
        <c:axId val="121580928"/>
        <c:scaling>
          <c:orientation val="minMax"/>
        </c:scaling>
        <c:delete val="0"/>
        <c:axPos val="b"/>
        <c:numFmt formatCode="General" sourceLinked="0"/>
        <c:majorTickMark val="out"/>
        <c:minorTickMark val="none"/>
        <c:tickLblPos val="nextTo"/>
        <c:crossAx val="121595008"/>
        <c:crosses val="autoZero"/>
        <c:auto val="1"/>
        <c:lblAlgn val="ctr"/>
        <c:lblOffset val="100"/>
        <c:noMultiLvlLbl val="0"/>
      </c:catAx>
      <c:valAx>
        <c:axId val="121595008"/>
        <c:scaling>
          <c:orientation val="minMax"/>
        </c:scaling>
        <c:delete val="0"/>
        <c:axPos val="l"/>
        <c:majorGridlines/>
        <c:numFmt formatCode="_(* #,##0_);_(* \(#,##0\);_(* &quot;-&quot;??_);_(@_)" sourceLinked="1"/>
        <c:majorTickMark val="out"/>
        <c:minorTickMark val="none"/>
        <c:tickLblPos val="nextTo"/>
        <c:crossAx val="121580928"/>
        <c:crosses val="autoZero"/>
        <c:crossBetween val="between"/>
      </c:valAx>
    </c:plotArea>
    <c:legend>
      <c:legendPos val="r"/>
      <c:layout>
        <c:manualLayout>
          <c:xMode val="edge"/>
          <c:yMode val="edge"/>
          <c:x val="0.79088421670318376"/>
          <c:y val="0.35786336808890795"/>
          <c:w val="0.20019290283924651"/>
          <c:h val="0.26516994646343628"/>
        </c:manualLayou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8.9342115577659725E-2"/>
          <c:y val="0.16875557498464883"/>
          <c:w val="0.77431430338319196"/>
          <c:h val="0.72413396640732197"/>
        </c:manualLayout>
      </c:layout>
      <c:bar3DChart>
        <c:barDir val="col"/>
        <c:grouping val="clustered"/>
        <c:varyColors val="0"/>
        <c:ser>
          <c:idx val="0"/>
          <c:order val="0"/>
          <c:tx>
            <c:strRef>
              <c:f>'CC (T+G)'!$A$12</c:f>
              <c:strCache>
                <c:ptCount val="1"/>
                <c:pt idx="0">
                  <c:v>Individuals </c:v>
                </c:pt>
              </c:strCache>
            </c:strRef>
          </c:tx>
          <c:invertIfNegative val="0"/>
          <c:cat>
            <c:strRef>
              <c:f>'CC (T+G)'!$B$11:$E$11</c:f>
              <c:strCache>
                <c:ptCount val="4"/>
                <c:pt idx="0">
                  <c:v>QPI Target DY3</c:v>
                </c:pt>
                <c:pt idx="1">
                  <c:v>QPI Target DY4</c:v>
                </c:pt>
                <c:pt idx="2">
                  <c:v>QPI Target DY5</c:v>
                </c:pt>
                <c:pt idx="3">
                  <c:v>Cumulative Total</c:v>
                </c:pt>
              </c:strCache>
            </c:strRef>
          </c:cat>
          <c:val>
            <c:numRef>
              <c:f>'CC (T+G)'!$B$12:$E$12</c:f>
              <c:numCache>
                <c:formatCode>#,##0</c:formatCode>
                <c:ptCount val="4"/>
                <c:pt idx="0">
                  <c:v>43684</c:v>
                </c:pt>
                <c:pt idx="1">
                  <c:v>49012</c:v>
                </c:pt>
                <c:pt idx="2">
                  <c:v>69262</c:v>
                </c:pt>
                <c:pt idx="3">
                  <c:v>161958</c:v>
                </c:pt>
              </c:numCache>
            </c:numRef>
          </c:val>
        </c:ser>
        <c:ser>
          <c:idx val="1"/>
          <c:order val="1"/>
          <c:tx>
            <c:strRef>
              <c:f>'CC (T+G)'!$A$13</c:f>
              <c:strCache>
                <c:ptCount val="1"/>
                <c:pt idx="0">
                  <c:v>Encounters</c:v>
                </c:pt>
              </c:strCache>
            </c:strRef>
          </c:tx>
          <c:invertIfNegative val="0"/>
          <c:cat>
            <c:strRef>
              <c:f>'CC (T+G)'!$B$11:$E$11</c:f>
              <c:strCache>
                <c:ptCount val="4"/>
                <c:pt idx="0">
                  <c:v>QPI Target DY3</c:v>
                </c:pt>
                <c:pt idx="1">
                  <c:v>QPI Target DY4</c:v>
                </c:pt>
                <c:pt idx="2">
                  <c:v>QPI Target DY5</c:v>
                </c:pt>
                <c:pt idx="3">
                  <c:v>Cumulative Total</c:v>
                </c:pt>
              </c:strCache>
            </c:strRef>
          </c:cat>
          <c:val>
            <c:numRef>
              <c:f>'CC (T+G)'!$B$13:$E$13</c:f>
              <c:numCache>
                <c:formatCode>_(* #,##0_);_(* \(#,##0\);_(* "-"??_);_(@_)</c:formatCode>
                <c:ptCount val="4"/>
                <c:pt idx="0">
                  <c:v>0</c:v>
                </c:pt>
                <c:pt idx="1">
                  <c:v>0</c:v>
                </c:pt>
                <c:pt idx="2">
                  <c:v>0</c:v>
                </c:pt>
                <c:pt idx="3">
                  <c:v>0</c:v>
                </c:pt>
              </c:numCache>
            </c:numRef>
          </c:val>
        </c:ser>
        <c:dLbls>
          <c:showLegendKey val="0"/>
          <c:showVal val="0"/>
          <c:showCatName val="0"/>
          <c:showSerName val="0"/>
          <c:showPercent val="0"/>
          <c:showBubbleSize val="0"/>
        </c:dLbls>
        <c:gapWidth val="150"/>
        <c:shape val="cylinder"/>
        <c:axId val="121616256"/>
        <c:axId val="121617792"/>
        <c:axId val="0"/>
      </c:bar3DChart>
      <c:catAx>
        <c:axId val="121616256"/>
        <c:scaling>
          <c:orientation val="minMax"/>
        </c:scaling>
        <c:delete val="0"/>
        <c:axPos val="b"/>
        <c:numFmt formatCode="General" sourceLinked="0"/>
        <c:majorTickMark val="out"/>
        <c:minorTickMark val="none"/>
        <c:tickLblPos val="nextTo"/>
        <c:crossAx val="121617792"/>
        <c:crosses val="autoZero"/>
        <c:auto val="1"/>
        <c:lblAlgn val="ctr"/>
        <c:lblOffset val="100"/>
        <c:noMultiLvlLbl val="0"/>
      </c:catAx>
      <c:valAx>
        <c:axId val="121617792"/>
        <c:scaling>
          <c:orientation val="minMax"/>
        </c:scaling>
        <c:delete val="0"/>
        <c:axPos val="l"/>
        <c:majorGridlines/>
        <c:numFmt formatCode="#,##0" sourceLinked="1"/>
        <c:majorTickMark val="out"/>
        <c:minorTickMark val="none"/>
        <c:tickLblPos val="nextTo"/>
        <c:crossAx val="121616256"/>
        <c:crosses val="autoZero"/>
        <c:crossBetween val="between"/>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7.010680763054157E-2"/>
          <c:y val="0.19176639807755769"/>
          <c:w val="0.71096493733634214"/>
          <c:h val="0.72457859922029144"/>
        </c:manualLayout>
      </c:layout>
      <c:bar3DChart>
        <c:barDir val="col"/>
        <c:grouping val="clustered"/>
        <c:varyColors val="0"/>
        <c:ser>
          <c:idx val="0"/>
          <c:order val="0"/>
          <c:tx>
            <c:strRef>
              <c:f>'CC (T+G)'!$B$18</c:f>
              <c:strCache>
                <c:ptCount val="1"/>
                <c:pt idx="0">
                  <c:v>Change in Use</c:v>
                </c:pt>
              </c:strCache>
            </c:strRef>
          </c:tx>
          <c:invertIfNegative val="0"/>
          <c:cat>
            <c:strRef>
              <c:f>'CC (T+G)'!$A$19:$A$30</c:f>
              <c:strCache>
                <c:ptCount val="11"/>
                <c:pt idx="0">
                  <c:v>Health Education</c:v>
                </c:pt>
                <c:pt idx="2">
                  <c:v>Navigation/Case Management</c:v>
                </c:pt>
                <c:pt idx="4">
                  <c:v>Navigation/Case Management/Home Care</c:v>
                </c:pt>
                <c:pt idx="6">
                  <c:v>Prevention/Wellness</c:v>
                </c:pt>
                <c:pt idx="8">
                  <c:v>Registry/Data Sharing</c:v>
                </c:pt>
                <c:pt idx="10">
                  <c:v>Screening and Treatment</c:v>
                </c:pt>
              </c:strCache>
            </c:strRef>
          </c:cat>
          <c:val>
            <c:numRef>
              <c:f>'CC (T+G)'!$B$19:$B$30</c:f>
              <c:numCache>
                <c:formatCode>_("$"* #,##0_);_("$"* \(#,##0\);_("$"* "-"??_);_(@_)</c:formatCode>
                <c:ptCount val="12"/>
                <c:pt idx="0" formatCode="General">
                  <c:v>1</c:v>
                </c:pt>
                <c:pt idx="1">
                  <c:v>3275410</c:v>
                </c:pt>
                <c:pt idx="2" formatCode="General">
                  <c:v>3</c:v>
                </c:pt>
                <c:pt idx="3">
                  <c:v>32070257.582491584</c:v>
                </c:pt>
                <c:pt idx="4" formatCode="General">
                  <c:v>1</c:v>
                </c:pt>
                <c:pt idx="5">
                  <c:v>17470564</c:v>
                </c:pt>
                <c:pt idx="8" formatCode="General">
                  <c:v>2</c:v>
                </c:pt>
                <c:pt idx="9">
                  <c:v>29054716.585937645</c:v>
                </c:pt>
              </c:numCache>
            </c:numRef>
          </c:val>
        </c:ser>
        <c:ser>
          <c:idx val="1"/>
          <c:order val="1"/>
          <c:tx>
            <c:strRef>
              <c:f>'CC (T+G)'!$C$18</c:f>
              <c:strCache>
                <c:ptCount val="1"/>
                <c:pt idx="0">
                  <c:v>Change in Health</c:v>
                </c:pt>
              </c:strCache>
            </c:strRef>
          </c:tx>
          <c:invertIfNegative val="0"/>
          <c:cat>
            <c:strRef>
              <c:f>'CC (T+G)'!$A$19:$A$30</c:f>
              <c:strCache>
                <c:ptCount val="11"/>
                <c:pt idx="0">
                  <c:v>Health Education</c:v>
                </c:pt>
                <c:pt idx="2">
                  <c:v>Navigation/Case Management</c:v>
                </c:pt>
                <c:pt idx="4">
                  <c:v>Navigation/Case Management/Home Care</c:v>
                </c:pt>
                <c:pt idx="6">
                  <c:v>Prevention/Wellness</c:v>
                </c:pt>
                <c:pt idx="8">
                  <c:v>Registry/Data Sharing</c:v>
                </c:pt>
                <c:pt idx="10">
                  <c:v>Screening and Treatment</c:v>
                </c:pt>
              </c:strCache>
            </c:strRef>
          </c:cat>
          <c:val>
            <c:numRef>
              <c:f>'CC (T+G)'!$C$19:$C$30</c:f>
              <c:numCache>
                <c:formatCode>_("$"* #,##0_);_("$"* \(#,##0\);_("$"* "-"??_);_(@_)</c:formatCode>
                <c:ptCount val="12"/>
                <c:pt idx="0" formatCode="General">
                  <c:v>1</c:v>
                </c:pt>
                <c:pt idx="1">
                  <c:v>410719</c:v>
                </c:pt>
                <c:pt idx="2" formatCode="General">
                  <c:v>3</c:v>
                </c:pt>
                <c:pt idx="3">
                  <c:v>21439457</c:v>
                </c:pt>
                <c:pt idx="8" formatCode="General">
                  <c:v>1</c:v>
                </c:pt>
                <c:pt idx="9">
                  <c:v>8796756.5999999996</c:v>
                </c:pt>
                <c:pt idx="10" formatCode="General">
                  <c:v>1</c:v>
                </c:pt>
                <c:pt idx="11">
                  <c:v>4723759</c:v>
                </c:pt>
              </c:numCache>
            </c:numRef>
          </c:val>
        </c:ser>
        <c:ser>
          <c:idx val="2"/>
          <c:order val="2"/>
          <c:tx>
            <c:strRef>
              <c:f>'CC (T+G)'!$D$18</c:f>
              <c:strCache>
                <c:ptCount val="1"/>
                <c:pt idx="0">
                  <c:v>Change in Behavior</c:v>
                </c:pt>
              </c:strCache>
            </c:strRef>
          </c:tx>
          <c:invertIfNegative val="0"/>
          <c:cat>
            <c:strRef>
              <c:f>'CC (T+G)'!$A$19:$A$30</c:f>
              <c:strCache>
                <c:ptCount val="11"/>
                <c:pt idx="0">
                  <c:v>Health Education</c:v>
                </c:pt>
                <c:pt idx="2">
                  <c:v>Navigation/Case Management</c:v>
                </c:pt>
                <c:pt idx="4">
                  <c:v>Navigation/Case Management/Home Care</c:v>
                </c:pt>
                <c:pt idx="6">
                  <c:v>Prevention/Wellness</c:v>
                </c:pt>
                <c:pt idx="8">
                  <c:v>Registry/Data Sharing</c:v>
                </c:pt>
                <c:pt idx="10">
                  <c:v>Screening and Treatment</c:v>
                </c:pt>
              </c:strCache>
            </c:strRef>
          </c:cat>
          <c:val>
            <c:numRef>
              <c:f>'CC (T+G)'!$D$19:$D$30</c:f>
              <c:numCache>
                <c:formatCode>_("$"* #,##0_);_("$"* \(#,##0\);_("$"* "-"??_);_(@_)</c:formatCode>
                <c:ptCount val="12"/>
                <c:pt idx="6" formatCode="General">
                  <c:v>1</c:v>
                </c:pt>
                <c:pt idx="7">
                  <c:v>15456990</c:v>
                </c:pt>
              </c:numCache>
            </c:numRef>
          </c:val>
        </c:ser>
        <c:ser>
          <c:idx val="3"/>
          <c:order val="3"/>
          <c:tx>
            <c:strRef>
              <c:f>'CC (T+G)'!$E$18</c:f>
              <c:strCache>
                <c:ptCount val="1"/>
                <c:pt idx="0">
                  <c:v>TOTAL</c:v>
                </c:pt>
              </c:strCache>
            </c:strRef>
          </c:tx>
          <c:invertIfNegative val="0"/>
          <c:cat>
            <c:strRef>
              <c:f>'CC (T+G)'!$A$19:$A$30</c:f>
              <c:strCache>
                <c:ptCount val="11"/>
                <c:pt idx="0">
                  <c:v>Health Education</c:v>
                </c:pt>
                <c:pt idx="2">
                  <c:v>Navigation/Case Management</c:v>
                </c:pt>
                <c:pt idx="4">
                  <c:v>Navigation/Case Management/Home Care</c:v>
                </c:pt>
                <c:pt idx="6">
                  <c:v>Prevention/Wellness</c:v>
                </c:pt>
                <c:pt idx="8">
                  <c:v>Registry/Data Sharing</c:v>
                </c:pt>
                <c:pt idx="10">
                  <c:v>Screening and Treatment</c:v>
                </c:pt>
              </c:strCache>
            </c:strRef>
          </c:cat>
          <c:val>
            <c:numRef>
              <c:f>'CC (T+G)'!$E$19:$E$30</c:f>
              <c:numCache>
                <c:formatCode>_("$"* #,##0_);_("$"* \(#,##0\);_("$"* "-"??_);_(@_)</c:formatCode>
                <c:ptCount val="12"/>
                <c:pt idx="0" formatCode="General">
                  <c:v>2</c:v>
                </c:pt>
                <c:pt idx="1">
                  <c:v>3686129</c:v>
                </c:pt>
                <c:pt idx="2" formatCode="General">
                  <c:v>6</c:v>
                </c:pt>
                <c:pt idx="3">
                  <c:v>53509714.582491584</c:v>
                </c:pt>
                <c:pt idx="4" formatCode="General">
                  <c:v>1</c:v>
                </c:pt>
                <c:pt idx="5">
                  <c:v>17470564</c:v>
                </c:pt>
                <c:pt idx="6" formatCode="General">
                  <c:v>1</c:v>
                </c:pt>
                <c:pt idx="7">
                  <c:v>15456990</c:v>
                </c:pt>
                <c:pt idx="8" formatCode="General">
                  <c:v>3</c:v>
                </c:pt>
                <c:pt idx="9">
                  <c:v>37851473.185937643</c:v>
                </c:pt>
                <c:pt idx="10" formatCode="General">
                  <c:v>1</c:v>
                </c:pt>
                <c:pt idx="11">
                  <c:v>4723759</c:v>
                </c:pt>
              </c:numCache>
            </c:numRef>
          </c:val>
        </c:ser>
        <c:ser>
          <c:idx val="4"/>
          <c:order val="4"/>
          <c:tx>
            <c:strRef>
              <c:f>'CC (T+G)'!$F$18</c:f>
              <c:strCache>
                <c:ptCount val="1"/>
              </c:strCache>
            </c:strRef>
          </c:tx>
          <c:invertIfNegative val="0"/>
          <c:cat>
            <c:strRef>
              <c:f>'CC (T+G)'!$A$19:$A$30</c:f>
              <c:strCache>
                <c:ptCount val="11"/>
                <c:pt idx="0">
                  <c:v>Health Education</c:v>
                </c:pt>
                <c:pt idx="2">
                  <c:v>Navigation/Case Management</c:v>
                </c:pt>
                <c:pt idx="4">
                  <c:v>Navigation/Case Management/Home Care</c:v>
                </c:pt>
                <c:pt idx="6">
                  <c:v>Prevention/Wellness</c:v>
                </c:pt>
                <c:pt idx="8">
                  <c:v>Registry/Data Sharing</c:v>
                </c:pt>
                <c:pt idx="10">
                  <c:v>Screening and Treatment</c:v>
                </c:pt>
              </c:strCache>
            </c:strRef>
          </c:cat>
          <c:val>
            <c:numRef>
              <c:f>'CC (T+G)'!$F$19:$F$30</c:f>
              <c:numCache>
                <c:formatCode>_("$"* #,##0_);_("$"* \(#,##0\);_("$"* "-"??_);_(@_)</c:formatCode>
                <c:ptCount val="12"/>
              </c:numCache>
            </c:numRef>
          </c:val>
        </c:ser>
        <c:ser>
          <c:idx val="5"/>
          <c:order val="5"/>
          <c:tx>
            <c:strRef>
              <c:f>'CC (T+G)'!#REF!</c:f>
              <c:strCache>
                <c:ptCount val="1"/>
                <c:pt idx="0">
                  <c:v>#REF!</c:v>
                </c:pt>
              </c:strCache>
            </c:strRef>
          </c:tx>
          <c:invertIfNegative val="0"/>
          <c:cat>
            <c:strRef>
              <c:f>'CC (T+G)'!$A$19:$A$30</c:f>
              <c:strCache>
                <c:ptCount val="11"/>
                <c:pt idx="0">
                  <c:v>Health Education</c:v>
                </c:pt>
                <c:pt idx="2">
                  <c:v>Navigation/Case Management</c:v>
                </c:pt>
                <c:pt idx="4">
                  <c:v>Navigation/Case Management/Home Care</c:v>
                </c:pt>
                <c:pt idx="6">
                  <c:v>Prevention/Wellness</c:v>
                </c:pt>
                <c:pt idx="8">
                  <c:v>Registry/Data Sharing</c:v>
                </c:pt>
                <c:pt idx="10">
                  <c:v>Screening and Treatment</c:v>
                </c:pt>
              </c:strCache>
            </c:strRef>
          </c:cat>
          <c:val>
            <c:numRef>
              <c:f>'CC (T+G)'!#REF!</c:f>
              <c:numCache>
                <c:formatCode>General</c:formatCode>
                <c:ptCount val="1"/>
                <c:pt idx="0">
                  <c:v>1</c:v>
                </c:pt>
              </c:numCache>
            </c:numRef>
          </c:val>
        </c:ser>
        <c:dLbls>
          <c:showLegendKey val="0"/>
          <c:showVal val="0"/>
          <c:showCatName val="0"/>
          <c:showSerName val="0"/>
          <c:showPercent val="0"/>
          <c:showBubbleSize val="0"/>
        </c:dLbls>
        <c:gapWidth val="150"/>
        <c:shape val="cylinder"/>
        <c:axId val="121724928"/>
        <c:axId val="121726464"/>
        <c:axId val="0"/>
      </c:bar3DChart>
      <c:catAx>
        <c:axId val="121724928"/>
        <c:scaling>
          <c:orientation val="minMax"/>
        </c:scaling>
        <c:delete val="0"/>
        <c:axPos val="b"/>
        <c:numFmt formatCode="General" sourceLinked="0"/>
        <c:majorTickMark val="out"/>
        <c:minorTickMark val="none"/>
        <c:tickLblPos val="nextTo"/>
        <c:crossAx val="121726464"/>
        <c:crosses val="autoZero"/>
        <c:auto val="1"/>
        <c:lblAlgn val="ctr"/>
        <c:lblOffset val="100"/>
        <c:noMultiLvlLbl val="0"/>
      </c:catAx>
      <c:valAx>
        <c:axId val="121726464"/>
        <c:scaling>
          <c:orientation val="minMax"/>
        </c:scaling>
        <c:delete val="0"/>
        <c:axPos val="l"/>
        <c:majorGridlines/>
        <c:numFmt formatCode="General" sourceLinked="1"/>
        <c:majorTickMark val="out"/>
        <c:minorTickMark val="none"/>
        <c:tickLblPos val="nextTo"/>
        <c:crossAx val="121724928"/>
        <c:crosses val="autoZero"/>
        <c:crossBetween val="between"/>
      </c:valAx>
    </c:plotArea>
    <c:legend>
      <c:legendPos val="r"/>
      <c:layout>
        <c:manualLayout>
          <c:xMode val="edge"/>
          <c:yMode val="edge"/>
          <c:x val="0.78547913610469544"/>
          <c:y val="0.35147668383805658"/>
          <c:w val="0.20150603256701388"/>
          <c:h val="0.33863793614707932"/>
        </c:manualLayou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Incentive Payment Amount during</a:t>
            </a:r>
            <a:r>
              <a:rPr lang="en-US" baseline="0"/>
              <a:t> DY2-5 for Cat 1, 2 and 3</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2047939632545932"/>
          <c:y val="0.27813684747739864"/>
          <c:w val="0.61301290463692037"/>
          <c:h val="0.42671369203849518"/>
        </c:manualLayout>
      </c:layout>
      <c:bar3DChart>
        <c:barDir val="col"/>
        <c:grouping val="clustered"/>
        <c:varyColors val="0"/>
        <c:ser>
          <c:idx val="0"/>
          <c:order val="0"/>
          <c:tx>
            <c:strRef>
              <c:f>'Navigation (T+G)'!$D$1</c:f>
              <c:strCache>
                <c:ptCount val="1"/>
                <c:pt idx="0">
                  <c:v>Target Incentive Payment Amount during DY2-5 for Cat 1, 2, 3 </c:v>
                </c:pt>
              </c:strCache>
            </c:strRef>
          </c:tx>
          <c:invertIfNegative val="0"/>
          <c:cat>
            <c:strRef>
              <c:f>'Navigation (T+G)'!$A$2:$A$4</c:f>
              <c:strCache>
                <c:ptCount val="3"/>
                <c:pt idx="0">
                  <c:v>Health Education</c:v>
                </c:pt>
                <c:pt idx="1">
                  <c:v>Nurse Call Line</c:v>
                </c:pt>
                <c:pt idx="2">
                  <c:v>Transition</c:v>
                </c:pt>
              </c:strCache>
            </c:strRef>
          </c:cat>
          <c:val>
            <c:numRef>
              <c:f>'Navigation (T+G)'!$D$2:$D$4</c:f>
              <c:numCache>
                <c:formatCode>_("$"* #,##0_);_("$"* \(#,##0\);_("$"* "-"??_);_(@_)</c:formatCode>
                <c:ptCount val="3"/>
                <c:pt idx="0">
                  <c:v>144521824.67799819</c:v>
                </c:pt>
                <c:pt idx="1">
                  <c:v>37331361.600000001</c:v>
                </c:pt>
                <c:pt idx="2">
                  <c:v>4023569.8354780604</c:v>
                </c:pt>
              </c:numCache>
            </c:numRef>
          </c:val>
        </c:ser>
        <c:dLbls>
          <c:showLegendKey val="0"/>
          <c:showVal val="0"/>
          <c:showCatName val="0"/>
          <c:showSerName val="0"/>
          <c:showPercent val="0"/>
          <c:showBubbleSize val="0"/>
        </c:dLbls>
        <c:gapWidth val="150"/>
        <c:shape val="cylinder"/>
        <c:axId val="123484800"/>
        <c:axId val="123486592"/>
        <c:axId val="0"/>
      </c:bar3DChart>
      <c:catAx>
        <c:axId val="123484800"/>
        <c:scaling>
          <c:orientation val="minMax"/>
        </c:scaling>
        <c:delete val="0"/>
        <c:axPos val="b"/>
        <c:numFmt formatCode="General" sourceLinked="1"/>
        <c:majorTickMark val="out"/>
        <c:minorTickMark val="none"/>
        <c:tickLblPos val="nextTo"/>
        <c:crossAx val="123486592"/>
        <c:crosses val="autoZero"/>
        <c:auto val="1"/>
        <c:lblAlgn val="ctr"/>
        <c:lblOffset val="100"/>
        <c:noMultiLvlLbl val="0"/>
      </c:catAx>
      <c:valAx>
        <c:axId val="123486592"/>
        <c:scaling>
          <c:orientation val="minMax"/>
        </c:scaling>
        <c:delete val="0"/>
        <c:axPos val="l"/>
        <c:majorGridlines/>
        <c:numFmt formatCode="_(&quot;$&quot;* #,##0_);_(&quot;$&quot;* \(#,##0\);_(&quot;$&quot;* &quot;-&quot;??_);_(@_)" sourceLinked="1"/>
        <c:majorTickMark val="out"/>
        <c:minorTickMark val="none"/>
        <c:tickLblPos val="nextTo"/>
        <c:crossAx val="123484800"/>
        <c:crosses val="autoZero"/>
        <c:crossBetween val="between"/>
      </c:valAx>
    </c:plotArea>
    <c:legend>
      <c:legendPos val="r"/>
      <c:layout>
        <c:manualLayout>
          <c:xMode val="edge"/>
          <c:yMode val="edge"/>
          <c:x val="0.79465419947506555"/>
          <c:y val="0.23779235928842282"/>
          <c:w val="0.18867913385826812"/>
          <c:h val="0.43170713035870517"/>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8.1147399188737798E-2"/>
          <c:y val="0.20463398722558518"/>
          <c:w val="0.72642925316153795"/>
          <c:h val="0.65179524524752508"/>
        </c:manualLayout>
      </c:layout>
      <c:bar3DChart>
        <c:barDir val="col"/>
        <c:grouping val="clustered"/>
        <c:varyColors val="0"/>
        <c:ser>
          <c:idx val="0"/>
          <c:order val="0"/>
          <c:tx>
            <c:strRef>
              <c:f>'Navigation (T+G)'!$B$1</c:f>
              <c:strCache>
                <c:ptCount val="1"/>
                <c:pt idx="0">
                  <c:v>Total Projects</c:v>
                </c:pt>
              </c:strCache>
            </c:strRef>
          </c:tx>
          <c:invertIfNegative val="0"/>
          <c:cat>
            <c:strRef>
              <c:f>'Navigation (T+G)'!$A$2:$A$4</c:f>
              <c:strCache>
                <c:ptCount val="3"/>
                <c:pt idx="0">
                  <c:v>Health Education</c:v>
                </c:pt>
                <c:pt idx="1">
                  <c:v>Nurse Call Line</c:v>
                </c:pt>
                <c:pt idx="2">
                  <c:v>Transition</c:v>
                </c:pt>
              </c:strCache>
            </c:strRef>
          </c:cat>
          <c:val>
            <c:numRef>
              <c:f>'Navigation (T+G)'!$B$2:$B$4</c:f>
              <c:numCache>
                <c:formatCode>General</c:formatCode>
                <c:ptCount val="3"/>
                <c:pt idx="0">
                  <c:v>13</c:v>
                </c:pt>
                <c:pt idx="1">
                  <c:v>2</c:v>
                </c:pt>
                <c:pt idx="2">
                  <c:v>1</c:v>
                </c:pt>
              </c:numCache>
            </c:numRef>
          </c:val>
        </c:ser>
        <c:ser>
          <c:idx val="1"/>
          <c:order val="1"/>
          <c:tx>
            <c:strRef>
              <c:f>'Navigation (T+G)'!$C$1</c:f>
              <c:strCache>
                <c:ptCount val="1"/>
                <c:pt idx="0">
                  <c:v>Total Providers</c:v>
                </c:pt>
              </c:strCache>
            </c:strRef>
          </c:tx>
          <c:invertIfNegative val="0"/>
          <c:cat>
            <c:strRef>
              <c:f>'Navigation (T+G)'!$A$2:$A$4</c:f>
              <c:strCache>
                <c:ptCount val="3"/>
                <c:pt idx="0">
                  <c:v>Health Education</c:v>
                </c:pt>
                <c:pt idx="1">
                  <c:v>Nurse Call Line</c:v>
                </c:pt>
                <c:pt idx="2">
                  <c:v>Transition</c:v>
                </c:pt>
              </c:strCache>
            </c:strRef>
          </c:cat>
          <c:val>
            <c:numRef>
              <c:f>'Navigation (T+G)'!$C$2:$C$4</c:f>
              <c:numCache>
                <c:formatCode>General</c:formatCode>
                <c:ptCount val="3"/>
                <c:pt idx="0">
                  <c:v>8</c:v>
                </c:pt>
                <c:pt idx="1">
                  <c:v>2</c:v>
                </c:pt>
                <c:pt idx="2">
                  <c:v>1</c:v>
                </c:pt>
              </c:numCache>
            </c:numRef>
          </c:val>
        </c:ser>
        <c:dLbls>
          <c:showLegendKey val="0"/>
          <c:showVal val="0"/>
          <c:showCatName val="0"/>
          <c:showSerName val="0"/>
          <c:showPercent val="0"/>
          <c:showBubbleSize val="0"/>
        </c:dLbls>
        <c:gapWidth val="150"/>
        <c:shape val="cylinder"/>
        <c:axId val="123512320"/>
        <c:axId val="123513856"/>
        <c:axId val="0"/>
      </c:bar3DChart>
      <c:catAx>
        <c:axId val="123512320"/>
        <c:scaling>
          <c:orientation val="minMax"/>
        </c:scaling>
        <c:delete val="0"/>
        <c:axPos val="b"/>
        <c:numFmt formatCode="General" sourceLinked="1"/>
        <c:majorTickMark val="out"/>
        <c:minorTickMark val="none"/>
        <c:tickLblPos val="nextTo"/>
        <c:crossAx val="123513856"/>
        <c:crosses val="autoZero"/>
        <c:auto val="1"/>
        <c:lblAlgn val="ctr"/>
        <c:lblOffset val="100"/>
        <c:noMultiLvlLbl val="0"/>
      </c:catAx>
      <c:valAx>
        <c:axId val="123513856"/>
        <c:scaling>
          <c:orientation val="minMax"/>
        </c:scaling>
        <c:delete val="0"/>
        <c:axPos val="l"/>
        <c:majorGridlines/>
        <c:numFmt formatCode="General" sourceLinked="1"/>
        <c:majorTickMark val="out"/>
        <c:minorTickMark val="none"/>
        <c:tickLblPos val="nextTo"/>
        <c:crossAx val="123512320"/>
        <c:crosses val="autoZero"/>
        <c:crossBetween val="between"/>
      </c:valAx>
    </c:plotArea>
    <c:legend>
      <c:legendPos val="r"/>
      <c:layout>
        <c:manualLayout>
          <c:xMode val="edge"/>
          <c:yMode val="edge"/>
          <c:x val="0.817116972000271"/>
          <c:y val="0.38942790642293723"/>
          <c:w val="0.16969607492245284"/>
          <c:h val="0.25598263499977747"/>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9.9126045942284483E-2"/>
          <c:y val="0.20294005249343847"/>
          <c:w val="0.68474875541411206"/>
          <c:h val="0.65504230971128596"/>
        </c:manualLayout>
      </c:layout>
      <c:bar3DChart>
        <c:barDir val="col"/>
        <c:grouping val="clustered"/>
        <c:varyColors val="0"/>
        <c:ser>
          <c:idx val="0"/>
          <c:order val="0"/>
          <c:tx>
            <c:strRef>
              <c:f>'Navigation (T+G)'!$E$1</c:f>
              <c:strCache>
                <c:ptCount val="1"/>
                <c:pt idx="0">
                  <c:v>Total Individuals Served during DY3-5</c:v>
                </c:pt>
              </c:strCache>
            </c:strRef>
          </c:tx>
          <c:invertIfNegative val="0"/>
          <c:cat>
            <c:strRef>
              <c:f>'Navigation (T+G)'!$A$2:$A$4</c:f>
              <c:strCache>
                <c:ptCount val="3"/>
                <c:pt idx="0">
                  <c:v>Health Education</c:v>
                </c:pt>
                <c:pt idx="1">
                  <c:v>Nurse Call Line</c:v>
                </c:pt>
                <c:pt idx="2">
                  <c:v>Transition</c:v>
                </c:pt>
              </c:strCache>
            </c:strRef>
          </c:cat>
          <c:val>
            <c:numRef>
              <c:f>'Navigation (T+G)'!$E$2:$E$4</c:f>
              <c:numCache>
                <c:formatCode>_(* #,##0_);_(* \(#,##0\);_(* "-"??_);_(@_)</c:formatCode>
                <c:ptCount val="3"/>
                <c:pt idx="0">
                  <c:v>100482</c:v>
                </c:pt>
                <c:pt idx="1">
                  <c:v>0</c:v>
                </c:pt>
                <c:pt idx="2">
                  <c:v>345</c:v>
                </c:pt>
              </c:numCache>
            </c:numRef>
          </c:val>
        </c:ser>
        <c:ser>
          <c:idx val="1"/>
          <c:order val="1"/>
          <c:tx>
            <c:strRef>
              <c:f>'Navigation (T+G)'!$F$1</c:f>
              <c:strCache>
                <c:ptCount val="1"/>
                <c:pt idx="0">
                  <c:v>Total Encounters Provided during DY3-5</c:v>
                </c:pt>
              </c:strCache>
            </c:strRef>
          </c:tx>
          <c:invertIfNegative val="0"/>
          <c:cat>
            <c:strRef>
              <c:f>'Navigation (T+G)'!$A$2:$A$4</c:f>
              <c:strCache>
                <c:ptCount val="3"/>
                <c:pt idx="0">
                  <c:v>Health Education</c:v>
                </c:pt>
                <c:pt idx="1">
                  <c:v>Nurse Call Line</c:v>
                </c:pt>
                <c:pt idx="2">
                  <c:v>Transition</c:v>
                </c:pt>
              </c:strCache>
            </c:strRef>
          </c:cat>
          <c:val>
            <c:numRef>
              <c:f>'Navigation (T+G)'!$F$2:$F$4</c:f>
              <c:numCache>
                <c:formatCode>_(* #,##0_);_(* \(#,##0\);_(* "-"??_);_(@_)</c:formatCode>
                <c:ptCount val="3"/>
                <c:pt idx="0" formatCode="General">
                  <c:v>0</c:v>
                </c:pt>
                <c:pt idx="1">
                  <c:v>393960</c:v>
                </c:pt>
                <c:pt idx="2" formatCode="General">
                  <c:v>0</c:v>
                </c:pt>
              </c:numCache>
            </c:numRef>
          </c:val>
        </c:ser>
        <c:dLbls>
          <c:showLegendKey val="0"/>
          <c:showVal val="0"/>
          <c:showCatName val="0"/>
          <c:showSerName val="0"/>
          <c:showPercent val="0"/>
          <c:showBubbleSize val="0"/>
        </c:dLbls>
        <c:gapWidth val="150"/>
        <c:shape val="cylinder"/>
        <c:axId val="123756928"/>
        <c:axId val="123758464"/>
        <c:axId val="0"/>
      </c:bar3DChart>
      <c:catAx>
        <c:axId val="123756928"/>
        <c:scaling>
          <c:orientation val="minMax"/>
        </c:scaling>
        <c:delete val="0"/>
        <c:axPos val="b"/>
        <c:numFmt formatCode="General" sourceLinked="0"/>
        <c:majorTickMark val="out"/>
        <c:minorTickMark val="none"/>
        <c:tickLblPos val="nextTo"/>
        <c:crossAx val="123758464"/>
        <c:crosses val="autoZero"/>
        <c:auto val="1"/>
        <c:lblAlgn val="ctr"/>
        <c:lblOffset val="100"/>
        <c:noMultiLvlLbl val="0"/>
      </c:catAx>
      <c:valAx>
        <c:axId val="123758464"/>
        <c:scaling>
          <c:orientation val="minMax"/>
        </c:scaling>
        <c:delete val="0"/>
        <c:axPos val="l"/>
        <c:majorGridlines/>
        <c:numFmt formatCode="_(* #,##0_);_(* \(#,##0\);_(* &quot;-&quot;??_);_(@_)" sourceLinked="1"/>
        <c:majorTickMark val="out"/>
        <c:minorTickMark val="none"/>
        <c:tickLblPos val="nextTo"/>
        <c:crossAx val="123756928"/>
        <c:crosses val="autoZero"/>
        <c:crossBetween val="between"/>
      </c:valAx>
    </c:plotArea>
    <c:legend>
      <c:legendPos val="r"/>
      <c:layout>
        <c:manualLayout>
          <c:xMode val="edge"/>
          <c:yMode val="edge"/>
          <c:x val="0.77931454147185319"/>
          <c:y val="0.42777889763779547"/>
          <c:w val="0.17964311956726145"/>
          <c:h val="0.21377553805774285"/>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QPI Grouping Type vs. Yearly QPI Targets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'Navigation (T+G)'!$A$9</c:f>
              <c:strCache>
                <c:ptCount val="1"/>
                <c:pt idx="0">
                  <c:v>Individuals</c:v>
                </c:pt>
              </c:strCache>
            </c:strRef>
          </c:tx>
          <c:invertIfNegative val="0"/>
          <c:cat>
            <c:strRef>
              <c:f>'Navigation (T+G)'!$B$8:$E$8</c:f>
              <c:strCache>
                <c:ptCount val="4"/>
                <c:pt idx="0">
                  <c:v>QPI Target: DY3</c:v>
                </c:pt>
                <c:pt idx="1">
                  <c:v>QPI Target: DY4</c:v>
                </c:pt>
                <c:pt idx="2">
                  <c:v>QPI Target: DY5</c:v>
                </c:pt>
                <c:pt idx="3">
                  <c:v>CUMULATIVE TOTAL </c:v>
                </c:pt>
              </c:strCache>
            </c:strRef>
          </c:cat>
          <c:val>
            <c:numRef>
              <c:f>'Navigation (T+G)'!$B$9:$E$9</c:f>
              <c:numCache>
                <c:formatCode>_(* #,##0_);_(* \(#,##0\);_(* "-"??_);_(@_)</c:formatCode>
                <c:ptCount val="4"/>
                <c:pt idx="0">
                  <c:v>23445</c:v>
                </c:pt>
                <c:pt idx="1">
                  <c:v>52543</c:v>
                </c:pt>
                <c:pt idx="2">
                  <c:v>87112</c:v>
                </c:pt>
                <c:pt idx="3">
                  <c:v>163100</c:v>
                </c:pt>
              </c:numCache>
            </c:numRef>
          </c:val>
        </c:ser>
        <c:dLbls>
          <c:showLegendKey val="0"/>
          <c:showVal val="0"/>
          <c:showCatName val="0"/>
          <c:showSerName val="0"/>
          <c:showPercent val="0"/>
          <c:showBubbleSize val="0"/>
        </c:dLbls>
        <c:gapWidth val="150"/>
        <c:shape val="cylinder"/>
        <c:axId val="123783424"/>
        <c:axId val="123785216"/>
        <c:axId val="0"/>
      </c:bar3DChart>
      <c:catAx>
        <c:axId val="123783424"/>
        <c:scaling>
          <c:orientation val="minMax"/>
        </c:scaling>
        <c:delete val="0"/>
        <c:axPos val="b"/>
        <c:numFmt formatCode="General" sourceLinked="0"/>
        <c:majorTickMark val="out"/>
        <c:minorTickMark val="none"/>
        <c:tickLblPos val="nextTo"/>
        <c:crossAx val="123785216"/>
        <c:crosses val="autoZero"/>
        <c:auto val="1"/>
        <c:lblAlgn val="ctr"/>
        <c:lblOffset val="100"/>
        <c:noMultiLvlLbl val="0"/>
      </c:catAx>
      <c:valAx>
        <c:axId val="123785216"/>
        <c:scaling>
          <c:orientation val="minMax"/>
        </c:scaling>
        <c:delete val="0"/>
        <c:axPos val="l"/>
        <c:majorGridlines/>
        <c:numFmt formatCode="_(* #,##0_);_(* \(#,##0\);_(* &quot;-&quot;??_);_(@_)" sourceLinked="1"/>
        <c:majorTickMark val="out"/>
        <c:minorTickMark val="none"/>
        <c:tickLblPos val="nextTo"/>
        <c:crossAx val="123783424"/>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 Category vs. % DY3-4</a:t>
            </a:r>
            <a:r>
              <a:rPr lang="en-US" baseline="0"/>
              <a:t> QPI Measure Type Goal Achievement</a:t>
            </a:r>
            <a:endParaRPr lang="en-US"/>
          </a:p>
        </c:rich>
      </c:tx>
      <c:overlay val="0"/>
      <c:spPr>
        <a:noFill/>
        <a:ln>
          <a:noFill/>
        </a:ln>
        <a:effectLst/>
      </c:spPr>
    </c:title>
    <c:autoTitleDeleted val="0"/>
    <c:plotArea>
      <c:layout/>
      <c:barChart>
        <c:barDir val="col"/>
        <c:grouping val="clustered"/>
        <c:varyColors val="0"/>
        <c:ser>
          <c:idx val="0"/>
          <c:order val="0"/>
          <c:tx>
            <c:strRef>
              <c:f>'QPI Analysis'!$D$14</c:f>
              <c:strCache>
                <c:ptCount val="1"/>
                <c:pt idx="0">
                  <c:v>% DY3-4 QPI Goal Achieved for Individuals</c:v>
                </c:pt>
              </c:strCache>
            </c:strRef>
          </c:tx>
          <c:spPr>
            <a:solidFill>
              <a:schemeClr val="accent1"/>
            </a:solidFill>
            <a:ln>
              <a:noFill/>
            </a:ln>
            <a:effectLst/>
          </c:spPr>
          <c:invertIfNegative val="0"/>
          <c:cat>
            <c:strRef>
              <c:f>'QPI Analysis'!$A$15:$A$22</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Analysis'!$D$15:$D$22</c:f>
              <c:numCache>
                <c:formatCode>0.0</c:formatCode>
                <c:ptCount val="8"/>
                <c:pt idx="0">
                  <c:v>54.738359091586744</c:v>
                </c:pt>
                <c:pt idx="1">
                  <c:v>67.192838595052621</c:v>
                </c:pt>
                <c:pt idx="2">
                  <c:v>398.6441336441336</c:v>
                </c:pt>
                <c:pt idx="3">
                  <c:v>188.62086821437819</c:v>
                </c:pt>
                <c:pt idx="4">
                  <c:v>294.71875</c:v>
                </c:pt>
                <c:pt idx="5">
                  <c:v>17.76353148629666</c:v>
                </c:pt>
                <c:pt idx="6">
                  <c:v>3.7690894476977843</c:v>
                </c:pt>
                <c:pt idx="7">
                  <c:v>206.19592754948647</c:v>
                </c:pt>
              </c:numCache>
            </c:numRef>
          </c:val>
        </c:ser>
        <c:ser>
          <c:idx val="1"/>
          <c:order val="1"/>
          <c:tx>
            <c:strRef>
              <c:f>'QPI Analysis'!$H$14</c:f>
              <c:strCache>
                <c:ptCount val="1"/>
                <c:pt idx="0">
                  <c:v>% DY3-4 QPI Goal Achieved for Encounters</c:v>
                </c:pt>
              </c:strCache>
            </c:strRef>
          </c:tx>
          <c:spPr>
            <a:solidFill>
              <a:schemeClr val="accent2"/>
            </a:solidFill>
            <a:ln>
              <a:noFill/>
            </a:ln>
            <a:effectLst/>
          </c:spPr>
          <c:invertIfNegative val="0"/>
          <c:cat>
            <c:strRef>
              <c:f>'QPI Analysis'!$A$15:$A$22</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Analysis'!$H$15:$H$22</c:f>
              <c:numCache>
                <c:formatCode>0.0</c:formatCode>
                <c:ptCount val="8"/>
                <c:pt idx="0">
                  <c:v>80.168312549556703</c:v>
                </c:pt>
                <c:pt idx="1">
                  <c:v>79.973002098576373</c:v>
                </c:pt>
                <c:pt idx="2">
                  <c:v>156.29485645933013</c:v>
                </c:pt>
                <c:pt idx="3" formatCode="#\ ?/?">
                  <c:v>0</c:v>
                </c:pt>
                <c:pt idx="4">
                  <c:v>0</c:v>
                </c:pt>
                <c:pt idx="5">
                  <c:v>15.526957051477307</c:v>
                </c:pt>
                <c:pt idx="6">
                  <c:v>20</c:v>
                </c:pt>
                <c:pt idx="7">
                  <c:v>0</c:v>
                </c:pt>
              </c:numCache>
            </c:numRef>
          </c:val>
        </c:ser>
        <c:dLbls>
          <c:showLegendKey val="0"/>
          <c:showVal val="0"/>
          <c:showCatName val="0"/>
          <c:showSerName val="0"/>
          <c:showPercent val="0"/>
          <c:showBubbleSize val="0"/>
        </c:dLbls>
        <c:gapWidth val="219"/>
        <c:overlap val="-27"/>
        <c:axId val="119936512"/>
        <c:axId val="119938432"/>
      </c:barChart>
      <c:catAx>
        <c:axId val="119936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Project Category</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938432"/>
        <c:crosses val="autoZero"/>
        <c:auto val="1"/>
        <c:lblAlgn val="ctr"/>
        <c:lblOffset val="100"/>
        <c:noMultiLvlLbl val="0"/>
      </c:catAx>
      <c:valAx>
        <c:axId val="119938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DY3-4 QPI Measure Type Goal Achievement</a:t>
                </a:r>
              </a:p>
            </c:rich>
          </c:tx>
          <c:overlay val="0"/>
          <c:spPr>
            <a:noFill/>
            <a:ln>
              <a:noFill/>
            </a:ln>
            <a:effectLst/>
          </c:sp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936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6.647294576703637E-2"/>
          <c:y val="0.11562458003407416"/>
          <c:w val="0.69277454735788335"/>
          <c:h val="0.81869692946719363"/>
        </c:manualLayout>
      </c:layout>
      <c:bar3DChart>
        <c:barDir val="col"/>
        <c:grouping val="clustered"/>
        <c:varyColors val="0"/>
        <c:ser>
          <c:idx val="0"/>
          <c:order val="0"/>
          <c:tx>
            <c:strRef>
              <c:f>'Navigation (T+G)'!$B$15</c:f>
              <c:strCache>
                <c:ptCount val="1"/>
                <c:pt idx="0">
                  <c:v>Change in Use</c:v>
                </c:pt>
              </c:strCache>
            </c:strRef>
          </c:tx>
          <c:invertIfNegative val="0"/>
          <c:cat>
            <c:strRef>
              <c:f>'Navigation (T+G)'!$A$16:$A$21</c:f>
              <c:strCache>
                <c:ptCount val="5"/>
                <c:pt idx="0">
                  <c:v>Health Education</c:v>
                </c:pt>
                <c:pt idx="2">
                  <c:v>Nurse Call line</c:v>
                </c:pt>
                <c:pt idx="4">
                  <c:v>Transition</c:v>
                </c:pt>
              </c:strCache>
            </c:strRef>
          </c:cat>
          <c:val>
            <c:numRef>
              <c:f>'Navigation (T+G)'!$B$16:$B$21</c:f>
              <c:numCache>
                <c:formatCode>"$"#,##0</c:formatCode>
                <c:ptCount val="6"/>
                <c:pt idx="0" formatCode="General">
                  <c:v>9</c:v>
                </c:pt>
                <c:pt idx="1">
                  <c:v>122658629.23476599</c:v>
                </c:pt>
                <c:pt idx="2" formatCode="General">
                  <c:v>1</c:v>
                </c:pt>
                <c:pt idx="3">
                  <c:v>17388804</c:v>
                </c:pt>
                <c:pt idx="4" formatCode="General">
                  <c:v>1</c:v>
                </c:pt>
                <c:pt idx="5">
                  <c:v>4023569.8354780604</c:v>
                </c:pt>
              </c:numCache>
            </c:numRef>
          </c:val>
        </c:ser>
        <c:ser>
          <c:idx val="1"/>
          <c:order val="1"/>
          <c:tx>
            <c:strRef>
              <c:f>'Navigation (T+G)'!$C$15</c:f>
              <c:strCache>
                <c:ptCount val="1"/>
                <c:pt idx="0">
                  <c:v>Change in Health </c:v>
                </c:pt>
              </c:strCache>
            </c:strRef>
          </c:tx>
          <c:invertIfNegative val="0"/>
          <c:cat>
            <c:strRef>
              <c:f>'Navigation (T+G)'!$A$16:$A$21</c:f>
              <c:strCache>
                <c:ptCount val="5"/>
                <c:pt idx="0">
                  <c:v>Health Education</c:v>
                </c:pt>
                <c:pt idx="2">
                  <c:v>Nurse Call line</c:v>
                </c:pt>
                <c:pt idx="4">
                  <c:v>Transition</c:v>
                </c:pt>
              </c:strCache>
            </c:strRef>
          </c:cat>
          <c:val>
            <c:numRef>
              <c:f>'Navigation (T+G)'!$C$16:$C$21</c:f>
              <c:numCache>
                <c:formatCode>"$"#,##0</c:formatCode>
                <c:ptCount val="6"/>
                <c:pt idx="0" formatCode="General">
                  <c:v>2</c:v>
                </c:pt>
                <c:pt idx="1">
                  <c:v>5920092</c:v>
                </c:pt>
              </c:numCache>
            </c:numRef>
          </c:val>
        </c:ser>
        <c:ser>
          <c:idx val="2"/>
          <c:order val="2"/>
          <c:tx>
            <c:strRef>
              <c:f>'Navigation (T+G)'!$D$15</c:f>
              <c:strCache>
                <c:ptCount val="1"/>
                <c:pt idx="0">
                  <c:v>Change in Use/Change in Satisfaction</c:v>
                </c:pt>
              </c:strCache>
            </c:strRef>
          </c:tx>
          <c:invertIfNegative val="0"/>
          <c:cat>
            <c:strRef>
              <c:f>'Navigation (T+G)'!$A$16:$A$21</c:f>
              <c:strCache>
                <c:ptCount val="5"/>
                <c:pt idx="0">
                  <c:v>Health Education</c:v>
                </c:pt>
                <c:pt idx="2">
                  <c:v>Nurse Call line</c:v>
                </c:pt>
                <c:pt idx="4">
                  <c:v>Transition</c:v>
                </c:pt>
              </c:strCache>
            </c:strRef>
          </c:cat>
          <c:val>
            <c:numRef>
              <c:f>'Navigation (T+G)'!$D$16:$D$21</c:f>
              <c:numCache>
                <c:formatCode>"$"#,##0</c:formatCode>
                <c:ptCount val="6"/>
                <c:pt idx="0" formatCode="General">
                  <c:v>2</c:v>
                </c:pt>
                <c:pt idx="1">
                  <c:v>15943103.443232199</c:v>
                </c:pt>
                <c:pt idx="2" formatCode="0">
                  <c:v>1</c:v>
                </c:pt>
                <c:pt idx="3">
                  <c:v>19942557.600000001</c:v>
                </c:pt>
              </c:numCache>
            </c:numRef>
          </c:val>
        </c:ser>
        <c:ser>
          <c:idx val="3"/>
          <c:order val="3"/>
          <c:tx>
            <c:strRef>
              <c:f>'Navigation (T+G)'!$E$15</c:f>
              <c:strCache>
                <c:ptCount val="1"/>
                <c:pt idx="0">
                  <c:v>TOTAL</c:v>
                </c:pt>
              </c:strCache>
            </c:strRef>
          </c:tx>
          <c:invertIfNegative val="0"/>
          <c:cat>
            <c:strRef>
              <c:f>'Navigation (T+G)'!$A$16:$A$21</c:f>
              <c:strCache>
                <c:ptCount val="5"/>
                <c:pt idx="0">
                  <c:v>Health Education</c:v>
                </c:pt>
                <c:pt idx="2">
                  <c:v>Nurse Call line</c:v>
                </c:pt>
                <c:pt idx="4">
                  <c:v>Transition</c:v>
                </c:pt>
              </c:strCache>
            </c:strRef>
          </c:cat>
          <c:val>
            <c:numRef>
              <c:f>'Navigation (T+G)'!$E$16:$E$21</c:f>
              <c:numCache>
                <c:formatCode>"$"#,##0</c:formatCode>
                <c:ptCount val="6"/>
                <c:pt idx="0" formatCode="General">
                  <c:v>13</c:v>
                </c:pt>
                <c:pt idx="1">
                  <c:v>144521824.67799819</c:v>
                </c:pt>
                <c:pt idx="2" formatCode="0">
                  <c:v>2</c:v>
                </c:pt>
                <c:pt idx="3">
                  <c:v>37331361.600000001</c:v>
                </c:pt>
                <c:pt idx="4" formatCode="0">
                  <c:v>1</c:v>
                </c:pt>
                <c:pt idx="5">
                  <c:v>4023569.8354780604</c:v>
                </c:pt>
              </c:numCache>
            </c:numRef>
          </c:val>
        </c:ser>
        <c:dLbls>
          <c:showLegendKey val="0"/>
          <c:showVal val="0"/>
          <c:showCatName val="0"/>
          <c:showSerName val="0"/>
          <c:showPercent val="0"/>
          <c:showBubbleSize val="0"/>
        </c:dLbls>
        <c:gapWidth val="150"/>
        <c:shape val="cylinder"/>
        <c:axId val="123869824"/>
        <c:axId val="123883904"/>
        <c:axId val="0"/>
      </c:bar3DChart>
      <c:catAx>
        <c:axId val="123869824"/>
        <c:scaling>
          <c:orientation val="minMax"/>
        </c:scaling>
        <c:delete val="0"/>
        <c:axPos val="b"/>
        <c:numFmt formatCode="General" sourceLinked="0"/>
        <c:majorTickMark val="out"/>
        <c:minorTickMark val="none"/>
        <c:tickLblPos val="nextTo"/>
        <c:crossAx val="123883904"/>
        <c:crosses val="autoZero"/>
        <c:auto val="1"/>
        <c:lblAlgn val="ctr"/>
        <c:lblOffset val="100"/>
        <c:noMultiLvlLbl val="0"/>
      </c:catAx>
      <c:valAx>
        <c:axId val="123883904"/>
        <c:scaling>
          <c:orientation val="minMax"/>
        </c:scaling>
        <c:delete val="0"/>
        <c:axPos val="l"/>
        <c:majorGridlines/>
        <c:numFmt formatCode="General" sourceLinked="1"/>
        <c:majorTickMark val="out"/>
        <c:minorTickMark val="none"/>
        <c:tickLblPos val="nextTo"/>
        <c:crossAx val="123869824"/>
        <c:crosses val="autoZero"/>
        <c:crossBetween val="between"/>
      </c:valAx>
    </c:plotArea>
    <c:legend>
      <c:legendPos val="r"/>
      <c:layout>
        <c:manualLayout>
          <c:xMode val="edge"/>
          <c:yMode val="edge"/>
          <c:x val="0.80235990036839278"/>
          <c:y val="0.31298807652870714"/>
          <c:w val="0.1905604542716694"/>
          <c:h val="0.40548431373722893"/>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Project Type vs. Total Incentive Payment Amount during DY3-5 for Cat 1, 2 and 3</a:t>
            </a:r>
          </a:p>
        </c:rich>
      </c:tx>
      <c:layout>
        <c:manualLayout>
          <c:xMode val="edge"/>
          <c:yMode val="edge"/>
          <c:x val="0.11333329791158013"/>
          <c:y val="3.2458638470480201E-2"/>
        </c:manualLayout>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3742125534507271"/>
          <c:y val="0.23343383816545749"/>
          <c:w val="0.66725280552052479"/>
          <c:h val="0.56089599602790163"/>
        </c:manualLayout>
      </c:layout>
      <c:bar3DChart>
        <c:barDir val="col"/>
        <c:grouping val="clustered"/>
        <c:varyColors val="0"/>
        <c:ser>
          <c:idx val="0"/>
          <c:order val="0"/>
          <c:tx>
            <c:strRef>
              <c:f>'EC (T+G)'!$D$1</c:f>
              <c:strCache>
                <c:ptCount val="1"/>
                <c:pt idx="0">
                  <c:v>Target Incentive Payment Amount during DY2-5 for Cat 1, 2, 3</c:v>
                </c:pt>
              </c:strCache>
            </c:strRef>
          </c:tx>
          <c:invertIfNegative val="0"/>
          <c:cat>
            <c:strRef>
              <c:f>'EC (T+G)'!$A$2:$A$3</c:f>
              <c:strCache>
                <c:ptCount val="2"/>
                <c:pt idx="0">
                  <c:v>ER Provider Triage</c:v>
                </c:pt>
                <c:pt idx="1">
                  <c:v>Expand Emergency Care</c:v>
                </c:pt>
              </c:strCache>
            </c:strRef>
          </c:cat>
          <c:val>
            <c:numRef>
              <c:f>'EC (T+G)'!$D$2:$D$3</c:f>
              <c:numCache>
                <c:formatCode>_("$"* #,##0_);_("$"* \(#,##0\);_("$"* "-"??_);_(@_)</c:formatCode>
                <c:ptCount val="2"/>
                <c:pt idx="0">
                  <c:v>14578467</c:v>
                </c:pt>
                <c:pt idx="1">
                  <c:v>2448444</c:v>
                </c:pt>
              </c:numCache>
            </c:numRef>
          </c:val>
        </c:ser>
        <c:dLbls>
          <c:showLegendKey val="0"/>
          <c:showVal val="0"/>
          <c:showCatName val="0"/>
          <c:showSerName val="0"/>
          <c:showPercent val="0"/>
          <c:showBubbleSize val="0"/>
        </c:dLbls>
        <c:gapWidth val="150"/>
        <c:shape val="cylinder"/>
        <c:axId val="123917440"/>
        <c:axId val="123918976"/>
        <c:axId val="0"/>
      </c:bar3DChart>
      <c:catAx>
        <c:axId val="123917440"/>
        <c:scaling>
          <c:orientation val="minMax"/>
        </c:scaling>
        <c:delete val="0"/>
        <c:axPos val="b"/>
        <c:numFmt formatCode="General" sourceLinked="0"/>
        <c:majorTickMark val="out"/>
        <c:minorTickMark val="none"/>
        <c:tickLblPos val="nextTo"/>
        <c:crossAx val="123918976"/>
        <c:crosses val="autoZero"/>
        <c:auto val="1"/>
        <c:lblAlgn val="ctr"/>
        <c:lblOffset val="100"/>
        <c:noMultiLvlLbl val="0"/>
      </c:catAx>
      <c:valAx>
        <c:axId val="123918976"/>
        <c:scaling>
          <c:orientation val="minMax"/>
        </c:scaling>
        <c:delete val="0"/>
        <c:axPos val="l"/>
        <c:majorGridlines/>
        <c:numFmt formatCode="_(&quot;$&quot;* #,##0_);_(&quot;$&quot;* \(#,##0\);_(&quot;$&quot;* &quot;-&quot;??_);_(@_)" sourceLinked="1"/>
        <c:majorTickMark val="out"/>
        <c:minorTickMark val="none"/>
        <c:tickLblPos val="nextTo"/>
        <c:crossAx val="123917440"/>
        <c:crosses val="autoZero"/>
        <c:crossBetween val="between"/>
      </c:valAx>
    </c:plotArea>
    <c:legend>
      <c:legendPos val="r"/>
      <c:layout>
        <c:manualLayout>
          <c:xMode val="edge"/>
          <c:yMode val="edge"/>
          <c:x val="0.82628277525915317"/>
          <c:y val="0.35625537031334781"/>
          <c:w val="0.16217321319683525"/>
          <c:h val="0.25760084458716404"/>
        </c:manualLayout>
      </c:layout>
      <c:overlay val="0"/>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1610952684968442"/>
          <c:y val="0.26470783257355979"/>
          <c:w val="0.68461204511598217"/>
          <c:h val="0.55105585486024777"/>
        </c:manualLayout>
      </c:layout>
      <c:bar3DChart>
        <c:barDir val="col"/>
        <c:grouping val="clustered"/>
        <c:varyColors val="0"/>
        <c:ser>
          <c:idx val="0"/>
          <c:order val="0"/>
          <c:tx>
            <c:strRef>
              <c:f>'EC (T+G)'!$B$1</c:f>
              <c:strCache>
                <c:ptCount val="1"/>
                <c:pt idx="0">
                  <c:v>Total Projects</c:v>
                </c:pt>
              </c:strCache>
            </c:strRef>
          </c:tx>
          <c:invertIfNegative val="0"/>
          <c:cat>
            <c:strRef>
              <c:f>'EC (T+G)'!$A$2:$A$3</c:f>
              <c:strCache>
                <c:ptCount val="2"/>
                <c:pt idx="0">
                  <c:v>ER Provider Triage</c:v>
                </c:pt>
                <c:pt idx="1">
                  <c:v>Expand Emergency Care</c:v>
                </c:pt>
              </c:strCache>
            </c:strRef>
          </c:cat>
          <c:val>
            <c:numRef>
              <c:f>'EC (T+G)'!$B$2:$B$3</c:f>
              <c:numCache>
                <c:formatCode>General</c:formatCode>
                <c:ptCount val="2"/>
                <c:pt idx="0">
                  <c:v>2</c:v>
                </c:pt>
                <c:pt idx="1">
                  <c:v>1</c:v>
                </c:pt>
              </c:numCache>
            </c:numRef>
          </c:val>
        </c:ser>
        <c:ser>
          <c:idx val="1"/>
          <c:order val="1"/>
          <c:tx>
            <c:strRef>
              <c:f>'EC (T+G)'!$C$1</c:f>
              <c:strCache>
                <c:ptCount val="1"/>
                <c:pt idx="0">
                  <c:v>Total Providers</c:v>
                </c:pt>
              </c:strCache>
            </c:strRef>
          </c:tx>
          <c:invertIfNegative val="0"/>
          <c:cat>
            <c:strRef>
              <c:f>'EC (T+G)'!$A$2:$A$3</c:f>
              <c:strCache>
                <c:ptCount val="2"/>
                <c:pt idx="0">
                  <c:v>ER Provider Triage</c:v>
                </c:pt>
                <c:pt idx="1">
                  <c:v>Expand Emergency Care</c:v>
                </c:pt>
              </c:strCache>
            </c:strRef>
          </c:cat>
          <c:val>
            <c:numRef>
              <c:f>'EC (T+G)'!$C$2:$C$3</c:f>
              <c:numCache>
                <c:formatCode>General</c:formatCode>
                <c:ptCount val="2"/>
                <c:pt idx="0">
                  <c:v>2</c:v>
                </c:pt>
                <c:pt idx="1">
                  <c:v>1</c:v>
                </c:pt>
              </c:numCache>
            </c:numRef>
          </c:val>
        </c:ser>
        <c:dLbls>
          <c:showLegendKey val="0"/>
          <c:showVal val="0"/>
          <c:showCatName val="0"/>
          <c:showSerName val="0"/>
          <c:showPercent val="0"/>
          <c:showBubbleSize val="0"/>
        </c:dLbls>
        <c:gapWidth val="150"/>
        <c:shape val="cylinder"/>
        <c:axId val="124416000"/>
        <c:axId val="124417536"/>
        <c:axId val="0"/>
      </c:bar3DChart>
      <c:catAx>
        <c:axId val="124416000"/>
        <c:scaling>
          <c:orientation val="minMax"/>
        </c:scaling>
        <c:delete val="0"/>
        <c:axPos val="b"/>
        <c:numFmt formatCode="General" sourceLinked="1"/>
        <c:majorTickMark val="out"/>
        <c:minorTickMark val="none"/>
        <c:tickLblPos val="nextTo"/>
        <c:crossAx val="124417536"/>
        <c:crosses val="autoZero"/>
        <c:auto val="1"/>
        <c:lblAlgn val="ctr"/>
        <c:lblOffset val="100"/>
        <c:noMultiLvlLbl val="0"/>
      </c:catAx>
      <c:valAx>
        <c:axId val="124417536"/>
        <c:scaling>
          <c:orientation val="minMax"/>
        </c:scaling>
        <c:delete val="0"/>
        <c:axPos val="l"/>
        <c:majorGridlines/>
        <c:numFmt formatCode="General" sourceLinked="1"/>
        <c:majorTickMark val="out"/>
        <c:minorTickMark val="none"/>
        <c:tickLblPos val="nextTo"/>
        <c:crossAx val="124416000"/>
        <c:crosses val="autoZero"/>
        <c:crossBetween val="between"/>
      </c:valAx>
    </c:plotArea>
    <c:legend>
      <c:legendPos val="r"/>
      <c:layout>
        <c:manualLayout>
          <c:xMode val="edge"/>
          <c:yMode val="edge"/>
          <c:x val="0.79531616656025816"/>
          <c:y val="0.29694770609814131"/>
          <c:w val="0.19387302262892767"/>
          <c:h val="0.27355098156590196"/>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0348950588442538"/>
          <c:y val="0.2101645208003694"/>
          <c:w val="0.67965123520292292"/>
          <c:h val="0.67314808055778175"/>
        </c:manualLayout>
      </c:layout>
      <c:bar3DChart>
        <c:barDir val="col"/>
        <c:grouping val="clustered"/>
        <c:varyColors val="0"/>
        <c:ser>
          <c:idx val="0"/>
          <c:order val="0"/>
          <c:tx>
            <c:strRef>
              <c:f>'EC (T+G)'!$E$1</c:f>
              <c:strCache>
                <c:ptCount val="1"/>
                <c:pt idx="0">
                  <c:v>Total Individuals served during DY3-5</c:v>
                </c:pt>
              </c:strCache>
            </c:strRef>
          </c:tx>
          <c:invertIfNegative val="0"/>
          <c:cat>
            <c:strRef>
              <c:f>'EC (T+G)'!$A$2:$A$3</c:f>
              <c:strCache>
                <c:ptCount val="2"/>
                <c:pt idx="0">
                  <c:v>ER Provider Triage</c:v>
                </c:pt>
                <c:pt idx="1">
                  <c:v>Expand Emergency Care</c:v>
                </c:pt>
              </c:strCache>
            </c:strRef>
          </c:cat>
          <c:val>
            <c:numRef>
              <c:f>'EC (T+G)'!$E$2:$E$3</c:f>
              <c:numCache>
                <c:formatCode>_(* #,##0_);_(* \(#,##0\);_(* "-"??_);_(@_)</c:formatCode>
                <c:ptCount val="2"/>
                <c:pt idx="0">
                  <c:v>6800</c:v>
                </c:pt>
                <c:pt idx="1">
                  <c:v>4200</c:v>
                </c:pt>
              </c:numCache>
            </c:numRef>
          </c:val>
        </c:ser>
        <c:ser>
          <c:idx val="1"/>
          <c:order val="1"/>
          <c:tx>
            <c:strRef>
              <c:f>'EC (T+G)'!$F$1</c:f>
              <c:strCache>
                <c:ptCount val="1"/>
                <c:pt idx="0">
                  <c:v>Total Encounters provided during DY3-5</c:v>
                </c:pt>
              </c:strCache>
            </c:strRef>
          </c:tx>
          <c:invertIfNegative val="0"/>
          <c:cat>
            <c:strRef>
              <c:f>'EC (T+G)'!$A$2:$A$3</c:f>
              <c:strCache>
                <c:ptCount val="2"/>
                <c:pt idx="0">
                  <c:v>ER Provider Triage</c:v>
                </c:pt>
                <c:pt idx="1">
                  <c:v>Expand Emergency Care</c:v>
                </c:pt>
              </c:strCache>
            </c:strRef>
          </c:cat>
          <c:val>
            <c:numRef>
              <c:f>'EC (T+G)'!$F$2:$F$3</c:f>
              <c:numCache>
                <c:formatCode>_(* #,##0_);_(* \(#,##0\);_(* "-"??_);_(@_)</c:formatCode>
                <c:ptCount val="2"/>
                <c:pt idx="0">
                  <c:v>1800</c:v>
                </c:pt>
                <c:pt idx="1">
                  <c:v>0</c:v>
                </c:pt>
              </c:numCache>
            </c:numRef>
          </c:val>
        </c:ser>
        <c:dLbls>
          <c:showLegendKey val="0"/>
          <c:showVal val="0"/>
          <c:showCatName val="0"/>
          <c:showSerName val="0"/>
          <c:showPercent val="0"/>
          <c:showBubbleSize val="0"/>
        </c:dLbls>
        <c:gapWidth val="150"/>
        <c:shape val="cylinder"/>
        <c:axId val="124430976"/>
        <c:axId val="124445056"/>
        <c:axId val="0"/>
      </c:bar3DChart>
      <c:catAx>
        <c:axId val="124430976"/>
        <c:scaling>
          <c:orientation val="minMax"/>
        </c:scaling>
        <c:delete val="0"/>
        <c:axPos val="b"/>
        <c:numFmt formatCode="General" sourceLinked="0"/>
        <c:majorTickMark val="out"/>
        <c:minorTickMark val="none"/>
        <c:tickLblPos val="nextTo"/>
        <c:crossAx val="124445056"/>
        <c:crosses val="autoZero"/>
        <c:auto val="1"/>
        <c:lblAlgn val="ctr"/>
        <c:lblOffset val="100"/>
        <c:noMultiLvlLbl val="0"/>
      </c:catAx>
      <c:valAx>
        <c:axId val="124445056"/>
        <c:scaling>
          <c:orientation val="minMax"/>
        </c:scaling>
        <c:delete val="0"/>
        <c:axPos val="l"/>
        <c:majorGridlines/>
        <c:numFmt formatCode="_(* #,##0_);_(* \(#,##0\);_(* &quot;-&quot;??_);_(@_)" sourceLinked="1"/>
        <c:majorTickMark val="out"/>
        <c:minorTickMark val="none"/>
        <c:tickLblPos val="nextTo"/>
        <c:crossAx val="124430976"/>
        <c:crosses val="autoZero"/>
        <c:crossBetween val="between"/>
      </c:valAx>
    </c:plotArea>
    <c:legend>
      <c:legendPos val="r"/>
      <c:layout>
        <c:manualLayout>
          <c:xMode val="edge"/>
          <c:yMode val="edge"/>
          <c:x val="0.78663637120564078"/>
          <c:y val="0.42770451164607631"/>
          <c:w val="0.20112892338032939"/>
          <c:h val="0.22289076402836253"/>
        </c:manualLayou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244882934849042"/>
          <c:y val="0.17749950362558845"/>
          <c:w val="0.73078247448263545"/>
          <c:h val="0.66601164343651165"/>
        </c:manualLayout>
      </c:layout>
      <c:bar3DChart>
        <c:barDir val="col"/>
        <c:grouping val="clustered"/>
        <c:varyColors val="0"/>
        <c:ser>
          <c:idx val="0"/>
          <c:order val="0"/>
          <c:tx>
            <c:strRef>
              <c:f>'EC (T+G)'!$A$8</c:f>
              <c:strCache>
                <c:ptCount val="1"/>
                <c:pt idx="0">
                  <c:v>Individuals</c:v>
                </c:pt>
              </c:strCache>
            </c:strRef>
          </c:tx>
          <c:invertIfNegative val="0"/>
          <c:cat>
            <c:strRef>
              <c:f>'EC (T+G)'!$B$7:$E$7</c:f>
              <c:strCache>
                <c:ptCount val="4"/>
                <c:pt idx="0">
                  <c:v>QPI Target DY3</c:v>
                </c:pt>
                <c:pt idx="1">
                  <c:v>QPI Target DY4</c:v>
                </c:pt>
                <c:pt idx="2">
                  <c:v>QPI Target DY5 </c:v>
                </c:pt>
                <c:pt idx="3">
                  <c:v>CUMULATIVE TOTAL</c:v>
                </c:pt>
              </c:strCache>
            </c:strRef>
          </c:cat>
          <c:val>
            <c:numRef>
              <c:f>'EC (T+G)'!$B$8:$E$8</c:f>
              <c:numCache>
                <c:formatCode>#,##0</c:formatCode>
                <c:ptCount val="4"/>
                <c:pt idx="0">
                  <c:v>1400</c:v>
                </c:pt>
                <c:pt idx="1">
                  <c:v>4000</c:v>
                </c:pt>
                <c:pt idx="2">
                  <c:v>5000</c:v>
                </c:pt>
                <c:pt idx="3">
                  <c:v>10400</c:v>
                </c:pt>
              </c:numCache>
            </c:numRef>
          </c:val>
        </c:ser>
        <c:ser>
          <c:idx val="1"/>
          <c:order val="1"/>
          <c:tx>
            <c:strRef>
              <c:f>'EC (T+G)'!$A$9</c:f>
              <c:strCache>
                <c:ptCount val="1"/>
                <c:pt idx="0">
                  <c:v>Encounters</c:v>
                </c:pt>
              </c:strCache>
            </c:strRef>
          </c:tx>
          <c:invertIfNegative val="0"/>
          <c:cat>
            <c:strRef>
              <c:f>'EC (T+G)'!$B$7:$E$7</c:f>
              <c:strCache>
                <c:ptCount val="4"/>
                <c:pt idx="0">
                  <c:v>QPI Target DY3</c:v>
                </c:pt>
                <c:pt idx="1">
                  <c:v>QPI Target DY4</c:v>
                </c:pt>
                <c:pt idx="2">
                  <c:v>QPI Target DY5 </c:v>
                </c:pt>
                <c:pt idx="3">
                  <c:v>CUMULATIVE TOTAL</c:v>
                </c:pt>
              </c:strCache>
            </c:strRef>
          </c:cat>
          <c:val>
            <c:numRef>
              <c:f>'EC (T+G)'!$B$9:$E$9</c:f>
              <c:numCache>
                <c:formatCode>#,##0</c:formatCode>
                <c:ptCount val="4"/>
                <c:pt idx="0">
                  <c:v>600</c:v>
                </c:pt>
                <c:pt idx="1">
                  <c:v>600</c:v>
                </c:pt>
                <c:pt idx="2">
                  <c:v>600</c:v>
                </c:pt>
                <c:pt idx="3">
                  <c:v>1800</c:v>
                </c:pt>
              </c:numCache>
            </c:numRef>
          </c:val>
        </c:ser>
        <c:dLbls>
          <c:showLegendKey val="0"/>
          <c:showVal val="0"/>
          <c:showCatName val="0"/>
          <c:showSerName val="0"/>
          <c:showPercent val="0"/>
          <c:showBubbleSize val="0"/>
        </c:dLbls>
        <c:gapWidth val="150"/>
        <c:shape val="cylinder"/>
        <c:axId val="125462016"/>
        <c:axId val="125463552"/>
        <c:axId val="0"/>
      </c:bar3DChart>
      <c:catAx>
        <c:axId val="125462016"/>
        <c:scaling>
          <c:orientation val="minMax"/>
        </c:scaling>
        <c:delete val="0"/>
        <c:axPos val="b"/>
        <c:numFmt formatCode="General" sourceLinked="0"/>
        <c:majorTickMark val="out"/>
        <c:minorTickMark val="none"/>
        <c:tickLblPos val="nextTo"/>
        <c:crossAx val="125463552"/>
        <c:crosses val="autoZero"/>
        <c:auto val="1"/>
        <c:lblAlgn val="ctr"/>
        <c:lblOffset val="100"/>
        <c:noMultiLvlLbl val="0"/>
      </c:catAx>
      <c:valAx>
        <c:axId val="125463552"/>
        <c:scaling>
          <c:orientation val="minMax"/>
        </c:scaling>
        <c:delete val="0"/>
        <c:axPos val="l"/>
        <c:majorGridlines/>
        <c:numFmt formatCode="#,##0" sourceLinked="1"/>
        <c:majorTickMark val="out"/>
        <c:minorTickMark val="none"/>
        <c:tickLblPos val="nextTo"/>
        <c:crossAx val="125462016"/>
        <c:crosses val="autoZero"/>
        <c:crossBetween val="between"/>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8.7774814309974164E-2"/>
          <c:y val="0.20520145223275441"/>
          <c:w val="0.74044350060532393"/>
          <c:h val="0.69896126762655064"/>
        </c:manualLayout>
      </c:layout>
      <c:bar3DChart>
        <c:barDir val="col"/>
        <c:grouping val="clustered"/>
        <c:varyColors val="0"/>
        <c:ser>
          <c:idx val="0"/>
          <c:order val="0"/>
          <c:tx>
            <c:strRef>
              <c:f>'EC (T+G)'!$B$13</c:f>
              <c:strCache>
                <c:ptCount val="1"/>
                <c:pt idx="0">
                  <c:v>Change in Use</c:v>
                </c:pt>
              </c:strCache>
            </c:strRef>
          </c:tx>
          <c:invertIfNegative val="0"/>
          <c:cat>
            <c:strRef>
              <c:f>'EC (T+G)'!$A$14:$A$17</c:f>
              <c:strCache>
                <c:ptCount val="3"/>
                <c:pt idx="0">
                  <c:v>ER Provider Triage</c:v>
                </c:pt>
                <c:pt idx="2">
                  <c:v>Expand Emergency Care</c:v>
                </c:pt>
              </c:strCache>
            </c:strRef>
          </c:cat>
          <c:val>
            <c:numRef>
              <c:f>'EC (T+G)'!$B$14:$B$17</c:f>
              <c:numCache>
                <c:formatCode>"$"#,##0</c:formatCode>
                <c:ptCount val="4"/>
                <c:pt idx="0" formatCode="General">
                  <c:v>1</c:v>
                </c:pt>
                <c:pt idx="1">
                  <c:v>13084388</c:v>
                </c:pt>
                <c:pt idx="2" formatCode="General">
                  <c:v>1</c:v>
                </c:pt>
                <c:pt idx="3">
                  <c:v>2448444</c:v>
                </c:pt>
              </c:numCache>
            </c:numRef>
          </c:val>
        </c:ser>
        <c:ser>
          <c:idx val="1"/>
          <c:order val="1"/>
          <c:tx>
            <c:strRef>
              <c:f>'EC (T+G)'!#REF!</c:f>
              <c:strCache>
                <c:ptCount val="1"/>
                <c:pt idx="0">
                  <c:v>#REF!</c:v>
                </c:pt>
              </c:strCache>
            </c:strRef>
          </c:tx>
          <c:invertIfNegative val="0"/>
          <c:cat>
            <c:strRef>
              <c:f>'EC (T+G)'!$A$14:$A$17</c:f>
              <c:strCache>
                <c:ptCount val="3"/>
                <c:pt idx="0">
                  <c:v>ER Provider Triage</c:v>
                </c:pt>
                <c:pt idx="2">
                  <c:v>Expand Emergency Care</c:v>
                </c:pt>
              </c:strCache>
            </c:strRef>
          </c:cat>
          <c:val>
            <c:numRef>
              <c:f>'EC (T+G)'!#REF!</c:f>
              <c:numCache>
                <c:formatCode>General</c:formatCode>
                <c:ptCount val="1"/>
                <c:pt idx="0">
                  <c:v>1</c:v>
                </c:pt>
              </c:numCache>
            </c:numRef>
          </c:val>
        </c:ser>
        <c:ser>
          <c:idx val="2"/>
          <c:order val="2"/>
          <c:tx>
            <c:strRef>
              <c:f>'EC (T+G)'!$C$13</c:f>
              <c:strCache>
                <c:ptCount val="1"/>
                <c:pt idx="0">
                  <c:v>Change in Use/Change in Satisfaction </c:v>
                </c:pt>
              </c:strCache>
            </c:strRef>
          </c:tx>
          <c:invertIfNegative val="0"/>
          <c:cat>
            <c:strRef>
              <c:f>'EC (T+G)'!$A$14:$A$17</c:f>
              <c:strCache>
                <c:ptCount val="3"/>
                <c:pt idx="0">
                  <c:v>ER Provider Triage</c:v>
                </c:pt>
                <c:pt idx="2">
                  <c:v>Expand Emergency Care</c:v>
                </c:pt>
              </c:strCache>
            </c:strRef>
          </c:cat>
          <c:val>
            <c:numRef>
              <c:f>'EC (T+G)'!$C$14:$C$17</c:f>
              <c:numCache>
                <c:formatCode>_("$"* #,##0_);_("$"* \(#,##0\);_("$"* "-"??_);_(@_)</c:formatCode>
                <c:ptCount val="4"/>
                <c:pt idx="0" formatCode="General">
                  <c:v>1</c:v>
                </c:pt>
                <c:pt idx="1">
                  <c:v>1494079</c:v>
                </c:pt>
              </c:numCache>
            </c:numRef>
          </c:val>
        </c:ser>
        <c:ser>
          <c:idx val="3"/>
          <c:order val="3"/>
          <c:tx>
            <c:strRef>
              <c:f>'EC (T+G)'!#REF!</c:f>
              <c:strCache>
                <c:ptCount val="1"/>
                <c:pt idx="0">
                  <c:v>#REF!</c:v>
                </c:pt>
              </c:strCache>
            </c:strRef>
          </c:tx>
          <c:invertIfNegative val="0"/>
          <c:cat>
            <c:strRef>
              <c:f>'EC (T+G)'!$A$14:$A$17</c:f>
              <c:strCache>
                <c:ptCount val="3"/>
                <c:pt idx="0">
                  <c:v>ER Provider Triage</c:v>
                </c:pt>
                <c:pt idx="2">
                  <c:v>Expand Emergency Care</c:v>
                </c:pt>
              </c:strCache>
            </c:strRef>
          </c:cat>
          <c:val>
            <c:numRef>
              <c:f>'EC (T+G)'!#REF!</c:f>
              <c:numCache>
                <c:formatCode>General</c:formatCode>
                <c:ptCount val="1"/>
                <c:pt idx="0">
                  <c:v>1</c:v>
                </c:pt>
              </c:numCache>
            </c:numRef>
          </c:val>
        </c:ser>
        <c:dLbls>
          <c:showLegendKey val="0"/>
          <c:showVal val="0"/>
          <c:showCatName val="0"/>
          <c:showSerName val="0"/>
          <c:showPercent val="0"/>
          <c:showBubbleSize val="0"/>
        </c:dLbls>
        <c:gapWidth val="150"/>
        <c:shape val="cylinder"/>
        <c:axId val="125486976"/>
        <c:axId val="125488512"/>
        <c:axId val="0"/>
      </c:bar3DChart>
      <c:catAx>
        <c:axId val="125486976"/>
        <c:scaling>
          <c:orientation val="minMax"/>
        </c:scaling>
        <c:delete val="0"/>
        <c:axPos val="b"/>
        <c:numFmt formatCode="General" sourceLinked="0"/>
        <c:majorTickMark val="out"/>
        <c:minorTickMark val="none"/>
        <c:tickLblPos val="nextTo"/>
        <c:crossAx val="125488512"/>
        <c:crosses val="autoZero"/>
        <c:auto val="1"/>
        <c:lblAlgn val="ctr"/>
        <c:lblOffset val="100"/>
        <c:noMultiLvlLbl val="0"/>
      </c:catAx>
      <c:valAx>
        <c:axId val="125488512"/>
        <c:scaling>
          <c:orientation val="minMax"/>
        </c:scaling>
        <c:delete val="0"/>
        <c:axPos val="l"/>
        <c:majorGridlines/>
        <c:numFmt formatCode="General" sourceLinked="1"/>
        <c:majorTickMark val="out"/>
        <c:minorTickMark val="none"/>
        <c:tickLblPos val="nextTo"/>
        <c:crossAx val="125486976"/>
        <c:crosses val="autoZero"/>
        <c:crossBetween val="between"/>
      </c:valAx>
    </c:plotArea>
    <c:legend>
      <c:legendPos val="r"/>
      <c:layout>
        <c:manualLayout>
          <c:xMode val="edge"/>
          <c:yMode val="edge"/>
          <c:x val="0.82477256083134876"/>
          <c:y val="0.28359557540774782"/>
          <c:w val="0.16740621069178371"/>
          <c:h val="0.47394730486114389"/>
        </c:manualLayou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Primary Care Incentive Payment Amount</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6633012244027873"/>
          <c:y val="0.19346004163272762"/>
          <c:w val="0.66199590533417285"/>
          <c:h val="0.38443117024165235"/>
        </c:manualLayout>
      </c:layout>
      <c:bar3DChart>
        <c:barDir val="col"/>
        <c:grouping val="clustered"/>
        <c:varyColors val="0"/>
        <c:ser>
          <c:idx val="0"/>
          <c:order val="0"/>
          <c:tx>
            <c:strRef>
              <c:f>'PC (T+G)'!$D$1</c:f>
              <c:strCache>
                <c:ptCount val="1"/>
                <c:pt idx="0">
                  <c:v>Target Incentive Payment Amount during DY2-5 for Cat 1, 2, 3</c:v>
                </c:pt>
              </c:strCache>
            </c:strRef>
          </c:tx>
          <c:invertIfNegative val="0"/>
          <c:cat>
            <c:strRef>
              <c:f>'PC (T+G)'!$A$2:$A$4</c:f>
              <c:strCache>
                <c:ptCount val="3"/>
                <c:pt idx="0">
                  <c:v>Expand Dental Health</c:v>
                </c:pt>
                <c:pt idx="1">
                  <c:v>Expand Primary Care</c:v>
                </c:pt>
                <c:pt idx="2">
                  <c:v>Expand Primary Care Training</c:v>
                </c:pt>
              </c:strCache>
            </c:strRef>
          </c:cat>
          <c:val>
            <c:numRef>
              <c:f>'PC (T+G)'!$D$2:$D$4</c:f>
              <c:numCache>
                <c:formatCode>_("$"* #,##0_);_("$"* \(#,##0\);_("$"* "-"??_);_(@_)</c:formatCode>
                <c:ptCount val="3"/>
                <c:pt idx="0">
                  <c:v>0</c:v>
                </c:pt>
                <c:pt idx="1">
                  <c:v>539739503.93591523</c:v>
                </c:pt>
                <c:pt idx="2">
                  <c:v>26691646.600000001</c:v>
                </c:pt>
              </c:numCache>
            </c:numRef>
          </c:val>
        </c:ser>
        <c:dLbls>
          <c:showLegendKey val="0"/>
          <c:showVal val="0"/>
          <c:showCatName val="0"/>
          <c:showSerName val="0"/>
          <c:showPercent val="0"/>
          <c:showBubbleSize val="0"/>
        </c:dLbls>
        <c:gapWidth val="150"/>
        <c:shape val="cylinder"/>
        <c:axId val="125731200"/>
        <c:axId val="125732736"/>
        <c:axId val="0"/>
      </c:bar3DChart>
      <c:catAx>
        <c:axId val="125731200"/>
        <c:scaling>
          <c:orientation val="minMax"/>
        </c:scaling>
        <c:delete val="0"/>
        <c:axPos val="b"/>
        <c:numFmt formatCode="General" sourceLinked="0"/>
        <c:majorTickMark val="out"/>
        <c:minorTickMark val="none"/>
        <c:tickLblPos val="nextTo"/>
        <c:crossAx val="125732736"/>
        <c:crosses val="autoZero"/>
        <c:auto val="1"/>
        <c:lblAlgn val="ctr"/>
        <c:lblOffset val="100"/>
        <c:noMultiLvlLbl val="0"/>
      </c:catAx>
      <c:valAx>
        <c:axId val="125732736"/>
        <c:scaling>
          <c:orientation val="minMax"/>
        </c:scaling>
        <c:delete val="0"/>
        <c:axPos val="l"/>
        <c:majorGridlines/>
        <c:numFmt formatCode="_(&quot;$&quot;* #,##0_);_(&quot;$&quot;* \(#,##0\);_(&quot;$&quot;* &quot;-&quot;??_);_(@_)" sourceLinked="1"/>
        <c:majorTickMark val="out"/>
        <c:minorTickMark val="none"/>
        <c:tickLblPos val="nextTo"/>
        <c:crossAx val="125731200"/>
        <c:crosses val="autoZero"/>
        <c:crossBetween val="between"/>
      </c:valAx>
    </c:plotArea>
    <c:legend>
      <c:legendPos val="r"/>
      <c:layout>
        <c:manualLayout>
          <c:xMode val="edge"/>
          <c:yMode val="edge"/>
          <c:x val="0.82606996460467863"/>
          <c:y val="0.35013593990406494"/>
          <c:w val="0.16039365637670927"/>
          <c:h val="0.29041759435243186"/>
        </c:manualLayout>
      </c:layout>
      <c:overlay val="0"/>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0085848824086401"/>
          <c:y val="0.16747781527309086"/>
          <c:w val="0.69480436032810777"/>
          <c:h val="0.56011373578302659"/>
        </c:manualLayout>
      </c:layout>
      <c:bar3DChart>
        <c:barDir val="col"/>
        <c:grouping val="clustered"/>
        <c:varyColors val="0"/>
        <c:ser>
          <c:idx val="0"/>
          <c:order val="0"/>
          <c:tx>
            <c:strRef>
              <c:f>'PC (T+G)'!$B$1</c:f>
              <c:strCache>
                <c:ptCount val="1"/>
                <c:pt idx="0">
                  <c:v>Total Projects</c:v>
                </c:pt>
              </c:strCache>
            </c:strRef>
          </c:tx>
          <c:invertIfNegative val="0"/>
          <c:cat>
            <c:strRef>
              <c:f>'PC (T+G)'!$A$2:$A$4</c:f>
              <c:strCache>
                <c:ptCount val="3"/>
                <c:pt idx="0">
                  <c:v>Expand Dental Health</c:v>
                </c:pt>
                <c:pt idx="1">
                  <c:v>Expand Primary Care</c:v>
                </c:pt>
                <c:pt idx="2">
                  <c:v>Expand Primary Care Training</c:v>
                </c:pt>
              </c:strCache>
            </c:strRef>
          </c:cat>
          <c:val>
            <c:numRef>
              <c:f>'PC (T+G)'!$B$2:$B$4</c:f>
              <c:numCache>
                <c:formatCode>General</c:formatCode>
                <c:ptCount val="3"/>
                <c:pt idx="0">
                  <c:v>4</c:v>
                </c:pt>
                <c:pt idx="1">
                  <c:v>28</c:v>
                </c:pt>
                <c:pt idx="2">
                  <c:v>2</c:v>
                </c:pt>
              </c:numCache>
            </c:numRef>
          </c:val>
        </c:ser>
        <c:ser>
          <c:idx val="1"/>
          <c:order val="1"/>
          <c:tx>
            <c:strRef>
              <c:f>'PC (T+G)'!$C$1</c:f>
              <c:strCache>
                <c:ptCount val="1"/>
                <c:pt idx="0">
                  <c:v>Total Providers </c:v>
                </c:pt>
              </c:strCache>
            </c:strRef>
          </c:tx>
          <c:invertIfNegative val="0"/>
          <c:cat>
            <c:strRef>
              <c:f>'PC (T+G)'!$A$2:$A$4</c:f>
              <c:strCache>
                <c:ptCount val="3"/>
                <c:pt idx="0">
                  <c:v>Expand Dental Health</c:v>
                </c:pt>
                <c:pt idx="1">
                  <c:v>Expand Primary Care</c:v>
                </c:pt>
                <c:pt idx="2">
                  <c:v>Expand Primary Care Training</c:v>
                </c:pt>
              </c:strCache>
            </c:strRef>
          </c:cat>
          <c:val>
            <c:numRef>
              <c:f>'PC (T+G)'!$C$2:$C$4</c:f>
              <c:numCache>
                <c:formatCode>General</c:formatCode>
                <c:ptCount val="3"/>
                <c:pt idx="0">
                  <c:v>2</c:v>
                </c:pt>
                <c:pt idx="1">
                  <c:v>14</c:v>
                </c:pt>
                <c:pt idx="2">
                  <c:v>2</c:v>
                </c:pt>
              </c:numCache>
            </c:numRef>
          </c:val>
        </c:ser>
        <c:dLbls>
          <c:showLegendKey val="0"/>
          <c:showVal val="0"/>
          <c:showCatName val="0"/>
          <c:showSerName val="0"/>
          <c:showPercent val="0"/>
          <c:showBubbleSize val="0"/>
        </c:dLbls>
        <c:gapWidth val="150"/>
        <c:shape val="cylinder"/>
        <c:axId val="125758464"/>
        <c:axId val="125760256"/>
        <c:axId val="0"/>
      </c:bar3DChart>
      <c:catAx>
        <c:axId val="125758464"/>
        <c:scaling>
          <c:orientation val="minMax"/>
        </c:scaling>
        <c:delete val="0"/>
        <c:axPos val="b"/>
        <c:numFmt formatCode="General" sourceLinked="0"/>
        <c:majorTickMark val="out"/>
        <c:minorTickMark val="none"/>
        <c:tickLblPos val="nextTo"/>
        <c:crossAx val="125760256"/>
        <c:crosses val="autoZero"/>
        <c:auto val="1"/>
        <c:lblAlgn val="ctr"/>
        <c:lblOffset val="100"/>
        <c:noMultiLvlLbl val="0"/>
      </c:catAx>
      <c:valAx>
        <c:axId val="125760256"/>
        <c:scaling>
          <c:orientation val="minMax"/>
        </c:scaling>
        <c:delete val="0"/>
        <c:axPos val="l"/>
        <c:majorGridlines/>
        <c:numFmt formatCode="General" sourceLinked="1"/>
        <c:majorTickMark val="out"/>
        <c:minorTickMark val="none"/>
        <c:tickLblPos val="nextTo"/>
        <c:crossAx val="125758464"/>
        <c:crosses val="autoZero"/>
        <c:crossBetween val="between"/>
      </c:valAx>
    </c:plotArea>
    <c:legend>
      <c:legendPos val="r"/>
      <c:layout>
        <c:manualLayout>
          <c:xMode val="edge"/>
          <c:yMode val="edge"/>
          <c:x val="0.79566284856897063"/>
          <c:y val="0.27407674040745023"/>
          <c:w val="0.19115757976710887"/>
          <c:h val="0.32168778902637302"/>
        </c:manualLayout>
      </c:layout>
      <c:overlay val="0"/>
    </c:legend>
    <c:plotVisOnly val="1"/>
    <c:dispBlanksAs val="gap"/>
    <c:showDLblsOverMax val="0"/>
  </c:chart>
  <c:printSettings>
    <c:headerFooter/>
    <c:pageMargins b="0.75000000000000244" l="0.70000000000000062" r="0.70000000000000062" t="0.75000000000000244"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4068647390727618"/>
          <c:y val="0.17293045930508386"/>
          <c:w val="0.6558141355854149"/>
          <c:h val="0.59434775003554996"/>
        </c:manualLayout>
      </c:layout>
      <c:bar3DChart>
        <c:barDir val="col"/>
        <c:grouping val="clustered"/>
        <c:varyColors val="0"/>
        <c:ser>
          <c:idx val="0"/>
          <c:order val="0"/>
          <c:tx>
            <c:strRef>
              <c:f>'PC (T+G)'!$E$1</c:f>
              <c:strCache>
                <c:ptCount val="1"/>
                <c:pt idx="0">
                  <c:v>Total Individuals served during DY3-5</c:v>
                </c:pt>
              </c:strCache>
            </c:strRef>
          </c:tx>
          <c:invertIfNegative val="0"/>
          <c:cat>
            <c:strRef>
              <c:f>'PC (T+G)'!$A$2:$A$4</c:f>
              <c:strCache>
                <c:ptCount val="3"/>
                <c:pt idx="0">
                  <c:v>Expand Dental Health</c:v>
                </c:pt>
                <c:pt idx="1">
                  <c:v>Expand Primary Care</c:v>
                </c:pt>
                <c:pt idx="2">
                  <c:v>Expand Primary Care Training</c:v>
                </c:pt>
              </c:strCache>
            </c:strRef>
          </c:cat>
          <c:val>
            <c:numRef>
              <c:f>'PC (T+G)'!$E$2:$E$4</c:f>
              <c:numCache>
                <c:formatCode>_(* #,##0_);_(* \(#,##0\);_(* "-"??_);_(@_)</c:formatCode>
                <c:ptCount val="3"/>
                <c:pt idx="0">
                  <c:v>0</c:v>
                </c:pt>
                <c:pt idx="1">
                  <c:v>15360</c:v>
                </c:pt>
                <c:pt idx="2">
                  <c:v>0</c:v>
                </c:pt>
              </c:numCache>
            </c:numRef>
          </c:val>
        </c:ser>
        <c:ser>
          <c:idx val="1"/>
          <c:order val="1"/>
          <c:tx>
            <c:strRef>
              <c:f>'PC (T+G)'!$F$1</c:f>
              <c:strCache>
                <c:ptCount val="1"/>
                <c:pt idx="0">
                  <c:v>Total Encounters provided during DY3-5</c:v>
                </c:pt>
              </c:strCache>
            </c:strRef>
          </c:tx>
          <c:invertIfNegative val="0"/>
          <c:cat>
            <c:strRef>
              <c:f>'PC (T+G)'!$A$2:$A$4</c:f>
              <c:strCache>
                <c:ptCount val="3"/>
                <c:pt idx="0">
                  <c:v>Expand Dental Health</c:v>
                </c:pt>
                <c:pt idx="1">
                  <c:v>Expand Primary Care</c:v>
                </c:pt>
                <c:pt idx="2">
                  <c:v>Expand Primary Care Training</c:v>
                </c:pt>
              </c:strCache>
            </c:strRef>
          </c:cat>
          <c:val>
            <c:numRef>
              <c:f>'PC (T+G)'!$F$2:$F$4</c:f>
              <c:numCache>
                <c:formatCode>_(* #,##0_);_(* \(#,##0\);_(* "-"??_);_(@_)</c:formatCode>
                <c:ptCount val="3"/>
                <c:pt idx="0">
                  <c:v>5889</c:v>
                </c:pt>
                <c:pt idx="1">
                  <c:v>1330773</c:v>
                </c:pt>
                <c:pt idx="2">
                  <c:v>38898</c:v>
                </c:pt>
              </c:numCache>
            </c:numRef>
          </c:val>
        </c:ser>
        <c:dLbls>
          <c:showLegendKey val="0"/>
          <c:showVal val="0"/>
          <c:showCatName val="0"/>
          <c:showSerName val="0"/>
          <c:showPercent val="0"/>
          <c:showBubbleSize val="0"/>
        </c:dLbls>
        <c:gapWidth val="150"/>
        <c:shape val="cylinder"/>
        <c:axId val="132335872"/>
        <c:axId val="132345856"/>
        <c:axId val="0"/>
      </c:bar3DChart>
      <c:catAx>
        <c:axId val="132335872"/>
        <c:scaling>
          <c:orientation val="minMax"/>
        </c:scaling>
        <c:delete val="0"/>
        <c:axPos val="b"/>
        <c:numFmt formatCode="General" sourceLinked="0"/>
        <c:majorTickMark val="out"/>
        <c:minorTickMark val="none"/>
        <c:tickLblPos val="nextTo"/>
        <c:crossAx val="132345856"/>
        <c:crosses val="autoZero"/>
        <c:auto val="1"/>
        <c:lblAlgn val="ctr"/>
        <c:lblOffset val="100"/>
        <c:noMultiLvlLbl val="0"/>
      </c:catAx>
      <c:valAx>
        <c:axId val="132345856"/>
        <c:scaling>
          <c:orientation val="minMax"/>
        </c:scaling>
        <c:delete val="0"/>
        <c:axPos val="l"/>
        <c:majorGridlines/>
        <c:numFmt formatCode="_(* #,##0_);_(* \(#,##0\);_(* &quot;-&quot;??_);_(@_)" sourceLinked="1"/>
        <c:majorTickMark val="out"/>
        <c:minorTickMark val="none"/>
        <c:tickLblPos val="nextTo"/>
        <c:crossAx val="132335872"/>
        <c:crosses val="autoZero"/>
        <c:crossBetween val="between"/>
      </c:valAx>
    </c:plotArea>
    <c:legend>
      <c:legendPos val="r"/>
      <c:layout>
        <c:manualLayout>
          <c:xMode val="edge"/>
          <c:yMode val="edge"/>
          <c:x val="0.77543213595834348"/>
          <c:y val="0.31727802057994836"/>
          <c:w val="0.21602926969986189"/>
          <c:h val="0.27914232178159881"/>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0910759288822348"/>
          <c:y val="0.18761097357870254"/>
          <c:w val="0.75204908694155714"/>
          <c:h val="0.7341898904175852"/>
        </c:manualLayout>
      </c:layout>
      <c:bar3DChart>
        <c:barDir val="col"/>
        <c:grouping val="clustered"/>
        <c:varyColors val="0"/>
        <c:ser>
          <c:idx val="0"/>
          <c:order val="0"/>
          <c:tx>
            <c:strRef>
              <c:f>'PC (T+G)'!$A$9</c:f>
              <c:strCache>
                <c:ptCount val="1"/>
                <c:pt idx="0">
                  <c:v>Individuals </c:v>
                </c:pt>
              </c:strCache>
            </c:strRef>
          </c:tx>
          <c:invertIfNegative val="0"/>
          <c:cat>
            <c:strRef>
              <c:f>'PC (T+G)'!$B$8:$E$8</c:f>
              <c:strCache>
                <c:ptCount val="4"/>
                <c:pt idx="0">
                  <c:v>QPI Target DY3</c:v>
                </c:pt>
                <c:pt idx="1">
                  <c:v>QPI Target DY4</c:v>
                </c:pt>
                <c:pt idx="2">
                  <c:v>QPI Target DY5</c:v>
                </c:pt>
                <c:pt idx="3">
                  <c:v>Cumulative Total</c:v>
                </c:pt>
              </c:strCache>
            </c:strRef>
          </c:cat>
          <c:val>
            <c:numRef>
              <c:f>'PC (T+G)'!$B$9:$E$9</c:f>
              <c:numCache>
                <c:formatCode>_(* #,##0_);_(* \(#,##0\);_(* "-"??_);_(@_)</c:formatCode>
                <c:ptCount val="4"/>
                <c:pt idx="0">
                  <c:v>0</c:v>
                </c:pt>
                <c:pt idx="1">
                  <c:v>0</c:v>
                </c:pt>
                <c:pt idx="2">
                  <c:v>0</c:v>
                </c:pt>
                <c:pt idx="3">
                  <c:v>0</c:v>
                </c:pt>
              </c:numCache>
            </c:numRef>
          </c:val>
        </c:ser>
        <c:ser>
          <c:idx val="1"/>
          <c:order val="1"/>
          <c:tx>
            <c:strRef>
              <c:f>'PC (T+G)'!$A$10</c:f>
              <c:strCache>
                <c:ptCount val="1"/>
                <c:pt idx="0">
                  <c:v>Encounters</c:v>
                </c:pt>
              </c:strCache>
            </c:strRef>
          </c:tx>
          <c:invertIfNegative val="0"/>
          <c:cat>
            <c:strRef>
              <c:f>'PC (T+G)'!$B$8:$E$8</c:f>
              <c:strCache>
                <c:ptCount val="4"/>
                <c:pt idx="0">
                  <c:v>QPI Target DY3</c:v>
                </c:pt>
                <c:pt idx="1">
                  <c:v>QPI Target DY4</c:v>
                </c:pt>
                <c:pt idx="2">
                  <c:v>QPI Target DY5</c:v>
                </c:pt>
                <c:pt idx="3">
                  <c:v>Cumulative Total</c:v>
                </c:pt>
              </c:strCache>
            </c:strRef>
          </c:cat>
          <c:val>
            <c:numRef>
              <c:f>'PC (T+G)'!$B$10:$E$10</c:f>
              <c:numCache>
                <c:formatCode>_(* #,##0_);_(* \(#,##0\);_(* "-"??_);_(@_)</c:formatCode>
                <c:ptCount val="4"/>
                <c:pt idx="0">
                  <c:v>390007</c:v>
                </c:pt>
                <c:pt idx="1">
                  <c:v>447907</c:v>
                </c:pt>
                <c:pt idx="2">
                  <c:v>537646</c:v>
                </c:pt>
                <c:pt idx="3">
                  <c:v>1375560</c:v>
                </c:pt>
              </c:numCache>
            </c:numRef>
          </c:val>
        </c:ser>
        <c:dLbls>
          <c:showLegendKey val="0"/>
          <c:showVal val="0"/>
          <c:showCatName val="0"/>
          <c:showSerName val="0"/>
          <c:showPercent val="0"/>
          <c:showBubbleSize val="0"/>
        </c:dLbls>
        <c:gapWidth val="150"/>
        <c:shape val="cylinder"/>
        <c:axId val="132363392"/>
        <c:axId val="132364928"/>
        <c:axId val="0"/>
      </c:bar3DChart>
      <c:catAx>
        <c:axId val="132363392"/>
        <c:scaling>
          <c:orientation val="minMax"/>
        </c:scaling>
        <c:delete val="0"/>
        <c:axPos val="b"/>
        <c:numFmt formatCode="General" sourceLinked="0"/>
        <c:majorTickMark val="out"/>
        <c:minorTickMark val="none"/>
        <c:tickLblPos val="nextTo"/>
        <c:crossAx val="132364928"/>
        <c:crosses val="autoZero"/>
        <c:auto val="1"/>
        <c:lblAlgn val="ctr"/>
        <c:lblOffset val="100"/>
        <c:noMultiLvlLbl val="0"/>
      </c:catAx>
      <c:valAx>
        <c:axId val="132364928"/>
        <c:scaling>
          <c:orientation val="minMax"/>
        </c:scaling>
        <c:delete val="0"/>
        <c:axPos val="l"/>
        <c:majorGridlines/>
        <c:numFmt formatCode="_(* #,##0_);_(* \(#,##0\);_(* &quot;-&quot;??_);_(@_)" sourceLinked="1"/>
        <c:majorTickMark val="out"/>
        <c:minorTickMark val="none"/>
        <c:tickLblPos val="nextTo"/>
        <c:crossAx val="132363392"/>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 Category vs. % QPI Measure Type Increase over</a:t>
            </a:r>
            <a:r>
              <a:rPr lang="en-US" baseline="0"/>
              <a:t> Baselines </a:t>
            </a:r>
            <a:endParaRPr lang="en-US"/>
          </a:p>
        </c:rich>
      </c:tx>
      <c:overlay val="0"/>
      <c:spPr>
        <a:noFill/>
        <a:ln>
          <a:noFill/>
        </a:ln>
        <a:effectLst/>
      </c:spPr>
    </c:title>
    <c:autoTitleDeleted val="0"/>
    <c:plotArea>
      <c:layout/>
      <c:barChart>
        <c:barDir val="col"/>
        <c:grouping val="clustered"/>
        <c:varyColors val="0"/>
        <c:ser>
          <c:idx val="0"/>
          <c:order val="0"/>
          <c:tx>
            <c:strRef>
              <c:f>'QPI Analysis'!$D$26</c:f>
              <c:strCache>
                <c:ptCount val="1"/>
                <c:pt idx="0">
                  <c:v>% Increase over Baseline for Individuals </c:v>
                </c:pt>
              </c:strCache>
            </c:strRef>
          </c:tx>
          <c:spPr>
            <a:solidFill>
              <a:schemeClr val="accent1"/>
            </a:solidFill>
            <a:ln>
              <a:noFill/>
            </a:ln>
            <a:effectLst/>
          </c:spPr>
          <c:invertIfNegative val="0"/>
          <c:cat>
            <c:strRef>
              <c:f>'QPI Analysis'!$A$27:$A$34</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Analysis'!$D$27:$D$34</c:f>
              <c:numCache>
                <c:formatCode>0.0</c:formatCode>
                <c:ptCount val="8"/>
                <c:pt idx="0">
                  <c:v>226.86681767574001</c:v>
                </c:pt>
                <c:pt idx="1">
                  <c:v>132.53482447142903</c:v>
                </c:pt>
                <c:pt idx="2">
                  <c:v>0</c:v>
                </c:pt>
                <c:pt idx="3">
                  <c:v>3638.6359036632266</c:v>
                </c:pt>
                <c:pt idx="4">
                  <c:v>0</c:v>
                </c:pt>
                <c:pt idx="5">
                  <c:v>381.01654846335697</c:v>
                </c:pt>
                <c:pt idx="6">
                  <c:v>886.22754491017963</c:v>
                </c:pt>
                <c:pt idx="7">
                  <c:v>128301.30718954249</c:v>
                </c:pt>
              </c:numCache>
            </c:numRef>
          </c:val>
        </c:ser>
        <c:ser>
          <c:idx val="1"/>
          <c:order val="1"/>
          <c:tx>
            <c:strRef>
              <c:f>'QPI Analysis'!$G$26</c:f>
              <c:strCache>
                <c:ptCount val="1"/>
                <c:pt idx="0">
                  <c:v>% Increase over Baseline for Encounters</c:v>
                </c:pt>
              </c:strCache>
            </c:strRef>
          </c:tx>
          <c:spPr>
            <a:solidFill>
              <a:schemeClr val="accent2"/>
            </a:solidFill>
            <a:ln>
              <a:noFill/>
            </a:ln>
            <a:effectLst/>
          </c:spPr>
          <c:invertIfNegative val="0"/>
          <c:cat>
            <c:strRef>
              <c:f>'QPI Analysis'!$A$27:$A$34</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Analysis'!$G$27:$G$34</c:f>
              <c:numCache>
                <c:formatCode>0.0</c:formatCode>
                <c:ptCount val="8"/>
                <c:pt idx="0">
                  <c:v>890.59889816953978</c:v>
                </c:pt>
                <c:pt idx="1">
                  <c:v>233.18736291658718</c:v>
                </c:pt>
                <c:pt idx="2">
                  <c:v>279.39958358361974</c:v>
                </c:pt>
                <c:pt idx="3">
                  <c:v>0</c:v>
                </c:pt>
                <c:pt idx="4" formatCode="_(* #,##0_);_(* \(#,##0\);_(* &quot;-&quot;??_);_(@_)">
                  <c:v>0</c:v>
                </c:pt>
                <c:pt idx="5">
                  <c:v>300</c:v>
                </c:pt>
                <c:pt idx="6">
                  <c:v>300</c:v>
                </c:pt>
                <c:pt idx="7" formatCode="_(* #,##0_);_(* \(#,##0\);_(* &quot;-&quot;??_);_(@_)">
                  <c:v>0</c:v>
                </c:pt>
              </c:numCache>
            </c:numRef>
          </c:val>
        </c:ser>
        <c:dLbls>
          <c:showLegendKey val="0"/>
          <c:showVal val="0"/>
          <c:showCatName val="0"/>
          <c:showSerName val="0"/>
          <c:showPercent val="0"/>
          <c:showBubbleSize val="0"/>
        </c:dLbls>
        <c:gapWidth val="219"/>
        <c:overlap val="-27"/>
        <c:axId val="119948032"/>
        <c:axId val="119949952"/>
      </c:barChart>
      <c:catAx>
        <c:axId val="11994803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949952"/>
        <c:crosses val="autoZero"/>
        <c:auto val="1"/>
        <c:lblAlgn val="ctr"/>
        <c:lblOffset val="100"/>
        <c:noMultiLvlLbl val="0"/>
      </c:catAx>
      <c:valAx>
        <c:axId val="119949952"/>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948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8.6054213048547962E-2"/>
          <c:y val="0.13762466678098567"/>
          <c:w val="0.70226917787502741"/>
          <c:h val="0.79216049509410258"/>
        </c:manualLayout>
      </c:layout>
      <c:bar3DChart>
        <c:barDir val="col"/>
        <c:grouping val="clustered"/>
        <c:varyColors val="0"/>
        <c:ser>
          <c:idx val="0"/>
          <c:order val="0"/>
          <c:tx>
            <c:strRef>
              <c:f>'PC (T+G)'!$B$14</c:f>
              <c:strCache>
                <c:ptCount val="1"/>
                <c:pt idx="0">
                  <c:v>Change in Use</c:v>
                </c:pt>
              </c:strCache>
            </c:strRef>
          </c:tx>
          <c:invertIfNegative val="0"/>
          <c:cat>
            <c:strRef>
              <c:f>'PC (T+G)'!$A$15:$A$20</c:f>
              <c:strCache>
                <c:ptCount val="5"/>
                <c:pt idx="0">
                  <c:v>Expand Dental Health</c:v>
                </c:pt>
                <c:pt idx="2">
                  <c:v>Expand Primary Care</c:v>
                </c:pt>
                <c:pt idx="4">
                  <c:v>Expand Primary Care Training</c:v>
                </c:pt>
              </c:strCache>
            </c:strRef>
          </c:cat>
          <c:val>
            <c:numRef>
              <c:f>'PC (T+G)'!$B$15:$B$20</c:f>
              <c:numCache>
                <c:formatCode>"$"#,##0</c:formatCode>
                <c:ptCount val="6"/>
                <c:pt idx="0" formatCode="General">
                  <c:v>1</c:v>
                </c:pt>
                <c:pt idx="1">
                  <c:v>32989687.670000002</c:v>
                </c:pt>
                <c:pt idx="2" formatCode="General">
                  <c:v>15</c:v>
                </c:pt>
                <c:pt idx="3">
                  <c:v>280710488.33999997</c:v>
                </c:pt>
                <c:pt idx="4" formatCode="General">
                  <c:v>2</c:v>
                </c:pt>
                <c:pt idx="5">
                  <c:v>26691646.600000001</c:v>
                </c:pt>
              </c:numCache>
            </c:numRef>
          </c:val>
        </c:ser>
        <c:ser>
          <c:idx val="1"/>
          <c:order val="1"/>
          <c:tx>
            <c:strRef>
              <c:f>'PC (T+G)'!$C$14</c:f>
              <c:strCache>
                <c:ptCount val="1"/>
                <c:pt idx="0">
                  <c:v>Change in Health</c:v>
                </c:pt>
              </c:strCache>
            </c:strRef>
          </c:tx>
          <c:invertIfNegative val="0"/>
          <c:cat>
            <c:strRef>
              <c:f>'PC (T+G)'!$A$15:$A$20</c:f>
              <c:strCache>
                <c:ptCount val="5"/>
                <c:pt idx="0">
                  <c:v>Expand Dental Health</c:v>
                </c:pt>
                <c:pt idx="2">
                  <c:v>Expand Primary Care</c:v>
                </c:pt>
                <c:pt idx="4">
                  <c:v>Expand Primary Care Training</c:v>
                </c:pt>
              </c:strCache>
            </c:strRef>
          </c:cat>
          <c:val>
            <c:numRef>
              <c:f>'PC (T+G)'!$C$15:$C$20</c:f>
              <c:numCache>
                <c:formatCode>_("$"* #,##0.00_);_("$"* \(#,##0.00\);_("$"* "-"??_);_(@_)</c:formatCode>
                <c:ptCount val="6"/>
                <c:pt idx="0" formatCode="General">
                  <c:v>1</c:v>
                </c:pt>
                <c:pt idx="1">
                  <c:v>11805660.869999999</c:v>
                </c:pt>
                <c:pt idx="2" formatCode="General">
                  <c:v>8</c:v>
                </c:pt>
                <c:pt idx="3" formatCode="&quot;$&quot;#,##0">
                  <c:v>232957194</c:v>
                </c:pt>
              </c:numCache>
            </c:numRef>
          </c:val>
        </c:ser>
        <c:ser>
          <c:idx val="2"/>
          <c:order val="2"/>
          <c:tx>
            <c:strRef>
              <c:f>'PC (T+G)'!$F$14</c:f>
              <c:strCache>
                <c:ptCount val="1"/>
                <c:pt idx="0">
                  <c:v>Change in Satisfaction/Change in Use</c:v>
                </c:pt>
              </c:strCache>
            </c:strRef>
          </c:tx>
          <c:invertIfNegative val="0"/>
          <c:cat>
            <c:strRef>
              <c:f>'PC (T+G)'!$A$15:$A$20</c:f>
              <c:strCache>
                <c:ptCount val="5"/>
                <c:pt idx="0">
                  <c:v>Expand Dental Health</c:v>
                </c:pt>
                <c:pt idx="2">
                  <c:v>Expand Primary Care</c:v>
                </c:pt>
                <c:pt idx="4">
                  <c:v>Expand Primary Care Training</c:v>
                </c:pt>
              </c:strCache>
            </c:strRef>
          </c:cat>
          <c:val>
            <c:numRef>
              <c:f>'PC (T+G)'!$F$15:$F$20</c:f>
              <c:numCache>
                <c:formatCode>_("$"* #,##0_);_("$"* \(#,##0\);_("$"* "-"??_);_(@_)</c:formatCode>
                <c:ptCount val="6"/>
                <c:pt idx="2" formatCode="General">
                  <c:v>1</c:v>
                </c:pt>
                <c:pt idx="3" formatCode="&quot;$&quot;#,##0">
                  <c:v>2825373.88</c:v>
                </c:pt>
              </c:numCache>
            </c:numRef>
          </c:val>
        </c:ser>
        <c:ser>
          <c:idx val="3"/>
          <c:order val="3"/>
          <c:tx>
            <c:strRef>
              <c:f>'PC (T+G)'!$G$14</c:f>
              <c:strCache>
                <c:ptCount val="1"/>
                <c:pt idx="0">
                  <c:v>Change in Use/Change in Behavior</c:v>
                </c:pt>
              </c:strCache>
            </c:strRef>
          </c:tx>
          <c:invertIfNegative val="0"/>
          <c:cat>
            <c:strRef>
              <c:f>'PC (T+G)'!$A$15:$A$20</c:f>
              <c:strCache>
                <c:ptCount val="5"/>
                <c:pt idx="0">
                  <c:v>Expand Dental Health</c:v>
                </c:pt>
                <c:pt idx="2">
                  <c:v>Expand Primary Care</c:v>
                </c:pt>
                <c:pt idx="4">
                  <c:v>Expand Primary Care Training</c:v>
                </c:pt>
              </c:strCache>
            </c:strRef>
          </c:cat>
          <c:val>
            <c:numRef>
              <c:f>'PC (T+G)'!$G$15:$G$20</c:f>
              <c:numCache>
                <c:formatCode>General</c:formatCode>
                <c:ptCount val="6"/>
                <c:pt idx="2">
                  <c:v>1</c:v>
                </c:pt>
                <c:pt idx="3" formatCode="&quot;$&quot;#,##0">
                  <c:v>5491497</c:v>
                </c:pt>
              </c:numCache>
            </c:numRef>
          </c:val>
        </c:ser>
        <c:ser>
          <c:idx val="4"/>
          <c:order val="4"/>
          <c:tx>
            <c:strRef>
              <c:f>'PC (T+G)'!#REF!</c:f>
              <c:strCache>
                <c:ptCount val="1"/>
                <c:pt idx="0">
                  <c:v>#REF!</c:v>
                </c:pt>
              </c:strCache>
            </c:strRef>
          </c:tx>
          <c:invertIfNegative val="0"/>
          <c:cat>
            <c:strRef>
              <c:f>'PC (T+G)'!$A$15:$A$20</c:f>
              <c:strCache>
                <c:ptCount val="5"/>
                <c:pt idx="0">
                  <c:v>Expand Dental Health</c:v>
                </c:pt>
                <c:pt idx="2">
                  <c:v>Expand Primary Care</c:v>
                </c:pt>
                <c:pt idx="4">
                  <c:v>Expand Primary Care Training</c:v>
                </c:pt>
              </c:strCache>
            </c:strRef>
          </c:cat>
          <c:val>
            <c:numRef>
              <c:f>'PC (T+G)'!#REF!</c:f>
              <c:numCache>
                <c:formatCode>General</c:formatCode>
                <c:ptCount val="1"/>
                <c:pt idx="0">
                  <c:v>1</c:v>
                </c:pt>
              </c:numCache>
            </c:numRef>
          </c:val>
        </c:ser>
        <c:dLbls>
          <c:showLegendKey val="0"/>
          <c:showVal val="0"/>
          <c:showCatName val="0"/>
          <c:showSerName val="0"/>
          <c:showPercent val="0"/>
          <c:showBubbleSize val="0"/>
        </c:dLbls>
        <c:gapWidth val="150"/>
        <c:shape val="cylinder"/>
        <c:axId val="132425984"/>
        <c:axId val="132440064"/>
        <c:axId val="0"/>
      </c:bar3DChart>
      <c:catAx>
        <c:axId val="132425984"/>
        <c:scaling>
          <c:orientation val="minMax"/>
        </c:scaling>
        <c:delete val="0"/>
        <c:axPos val="b"/>
        <c:numFmt formatCode="General" sourceLinked="0"/>
        <c:majorTickMark val="out"/>
        <c:minorTickMark val="none"/>
        <c:tickLblPos val="nextTo"/>
        <c:crossAx val="132440064"/>
        <c:crosses val="autoZero"/>
        <c:auto val="1"/>
        <c:lblAlgn val="ctr"/>
        <c:lblOffset val="100"/>
        <c:noMultiLvlLbl val="0"/>
      </c:catAx>
      <c:valAx>
        <c:axId val="132440064"/>
        <c:scaling>
          <c:orientation val="minMax"/>
        </c:scaling>
        <c:delete val="0"/>
        <c:axPos val="l"/>
        <c:majorGridlines/>
        <c:numFmt formatCode="General" sourceLinked="1"/>
        <c:majorTickMark val="out"/>
        <c:minorTickMark val="none"/>
        <c:tickLblPos val="nextTo"/>
        <c:crossAx val="132425984"/>
        <c:crosses val="autoZero"/>
        <c:crossBetween val="between"/>
      </c:valAx>
    </c:plotArea>
    <c:legend>
      <c:legendPos val="r"/>
      <c:layout>
        <c:manualLayout>
          <c:xMode val="edge"/>
          <c:yMode val="edge"/>
          <c:x val="0.82082089681525472"/>
          <c:y val="0.29481444012695152"/>
          <c:w val="0.17077069464378855"/>
          <c:h val="0.52248322125433566"/>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Specialty Care Project Sub-category</a:t>
            </a:r>
          </a:p>
          <a:p>
            <a:pPr>
              <a:defRPr/>
            </a:pPr>
            <a:r>
              <a:rPr lang="en-US"/>
              <a:t>Payments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2047939632545932"/>
          <c:y val="0.19480351414406533"/>
          <c:w val="0.58409492563429566"/>
          <c:h val="0.5576888305628479"/>
        </c:manualLayout>
      </c:layout>
      <c:bar3DChart>
        <c:barDir val="col"/>
        <c:grouping val="clustered"/>
        <c:varyColors val="0"/>
        <c:ser>
          <c:idx val="0"/>
          <c:order val="0"/>
          <c:tx>
            <c:strRef>
              <c:f>'SC (T+G)'!$D$1</c:f>
              <c:strCache>
                <c:ptCount val="1"/>
                <c:pt idx="0">
                  <c:v>Target Incentive Payment Amount DY3-5 for Cat 1, 2, 3 </c:v>
                </c:pt>
              </c:strCache>
            </c:strRef>
          </c:tx>
          <c:invertIfNegative val="0"/>
          <c:cat>
            <c:strRef>
              <c:f>'SC (T+G)'!$A$3</c:f>
              <c:strCache>
                <c:ptCount val="1"/>
                <c:pt idx="0">
                  <c:v>Telemedicine</c:v>
                </c:pt>
              </c:strCache>
            </c:strRef>
          </c:cat>
          <c:val>
            <c:numRef>
              <c:f>'SC (T+G)'!$D$3</c:f>
              <c:numCache>
                <c:formatCode>_("$"* #,##0_);_("$"* \(#,##0\);_("$"* "-"??_);_(@_)</c:formatCode>
                <c:ptCount val="1"/>
                <c:pt idx="0">
                  <c:v>2563533</c:v>
                </c:pt>
              </c:numCache>
            </c:numRef>
          </c:val>
        </c:ser>
        <c:dLbls>
          <c:showLegendKey val="0"/>
          <c:showVal val="0"/>
          <c:showCatName val="0"/>
          <c:showSerName val="0"/>
          <c:showPercent val="0"/>
          <c:showBubbleSize val="0"/>
        </c:dLbls>
        <c:gapWidth val="150"/>
        <c:shape val="cylinder"/>
        <c:axId val="132989696"/>
        <c:axId val="132991232"/>
        <c:axId val="0"/>
      </c:bar3DChart>
      <c:catAx>
        <c:axId val="132989696"/>
        <c:scaling>
          <c:orientation val="minMax"/>
        </c:scaling>
        <c:delete val="0"/>
        <c:axPos val="b"/>
        <c:numFmt formatCode="General" sourceLinked="0"/>
        <c:majorTickMark val="out"/>
        <c:minorTickMark val="none"/>
        <c:tickLblPos val="nextTo"/>
        <c:crossAx val="132991232"/>
        <c:crosses val="autoZero"/>
        <c:auto val="1"/>
        <c:lblAlgn val="ctr"/>
        <c:lblOffset val="100"/>
        <c:noMultiLvlLbl val="0"/>
      </c:catAx>
      <c:valAx>
        <c:axId val="132991232"/>
        <c:scaling>
          <c:orientation val="minMax"/>
        </c:scaling>
        <c:delete val="0"/>
        <c:axPos val="l"/>
        <c:majorGridlines/>
        <c:numFmt formatCode="_(&quot;$&quot;* #,##0_);_(&quot;$&quot;* \(#,##0\);_(&quot;$&quot;* &quot;-&quot;??_);_(@_)" sourceLinked="1"/>
        <c:majorTickMark val="out"/>
        <c:minorTickMark val="none"/>
        <c:tickLblPos val="nextTo"/>
        <c:crossAx val="132989696"/>
        <c:crosses val="autoZero"/>
        <c:crossBetween val="between"/>
      </c:valAx>
    </c:plotArea>
    <c:legend>
      <c:legendPos val="r"/>
      <c:layout>
        <c:manualLayout>
          <c:xMode val="edge"/>
          <c:yMode val="edge"/>
          <c:x val="0.78611111111111109"/>
          <c:y val="0.36279235928842235"/>
          <c:w val="0.19722222222222224"/>
          <c:h val="0.30670713035870517"/>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7.0974677987315798E-2"/>
          <c:y val="0.21433627386834544"/>
          <c:w val="0.71487469760230293"/>
          <c:h val="0.68995540313907977"/>
        </c:manualLayout>
      </c:layout>
      <c:bar3DChart>
        <c:barDir val="col"/>
        <c:grouping val="clustered"/>
        <c:varyColors val="0"/>
        <c:ser>
          <c:idx val="0"/>
          <c:order val="0"/>
          <c:tx>
            <c:strRef>
              <c:f>'SC (T+G)'!$B$1</c:f>
              <c:strCache>
                <c:ptCount val="1"/>
                <c:pt idx="0">
                  <c:v>Total Projects </c:v>
                </c:pt>
              </c:strCache>
            </c:strRef>
          </c:tx>
          <c:invertIfNegative val="0"/>
          <c:cat>
            <c:strRef>
              <c:f>'SC (T+G)'!$A$3</c:f>
              <c:strCache>
                <c:ptCount val="1"/>
                <c:pt idx="0">
                  <c:v>Telemedicine</c:v>
                </c:pt>
              </c:strCache>
            </c:strRef>
          </c:cat>
          <c:val>
            <c:numRef>
              <c:f>'SC (T+G)'!$E$2</c:f>
              <c:numCache>
                <c:formatCode>_(* #,##0_);_(* \(#,##0\);_(* "-"??_);_(@_)</c:formatCode>
                <c:ptCount val="1"/>
                <c:pt idx="0">
                  <c:v>33825</c:v>
                </c:pt>
              </c:numCache>
            </c:numRef>
          </c:val>
        </c:ser>
        <c:ser>
          <c:idx val="1"/>
          <c:order val="1"/>
          <c:tx>
            <c:strRef>
              <c:f>'SC (T+G)'!$C$1</c:f>
              <c:strCache>
                <c:ptCount val="1"/>
                <c:pt idx="0">
                  <c:v>Total Providers </c:v>
                </c:pt>
              </c:strCache>
            </c:strRef>
          </c:tx>
          <c:invertIfNegative val="0"/>
          <c:cat>
            <c:strRef>
              <c:f>'SC (T+G)'!$A$3</c:f>
              <c:strCache>
                <c:ptCount val="1"/>
                <c:pt idx="0">
                  <c:v>Telemedicine</c:v>
                </c:pt>
              </c:strCache>
            </c:strRef>
          </c:cat>
          <c:val>
            <c:numRef>
              <c:f>'SC (T+G)'!$C$3</c:f>
              <c:numCache>
                <c:formatCode>General</c:formatCode>
                <c:ptCount val="1"/>
                <c:pt idx="0">
                  <c:v>2</c:v>
                </c:pt>
              </c:numCache>
            </c:numRef>
          </c:val>
        </c:ser>
        <c:dLbls>
          <c:showLegendKey val="0"/>
          <c:showVal val="0"/>
          <c:showCatName val="0"/>
          <c:showSerName val="0"/>
          <c:showPercent val="0"/>
          <c:showBubbleSize val="0"/>
        </c:dLbls>
        <c:gapWidth val="150"/>
        <c:shape val="cylinder"/>
        <c:axId val="133029248"/>
        <c:axId val="133035136"/>
        <c:axId val="0"/>
      </c:bar3DChart>
      <c:catAx>
        <c:axId val="133029248"/>
        <c:scaling>
          <c:orientation val="minMax"/>
        </c:scaling>
        <c:delete val="0"/>
        <c:axPos val="b"/>
        <c:numFmt formatCode="General" sourceLinked="0"/>
        <c:majorTickMark val="out"/>
        <c:minorTickMark val="none"/>
        <c:tickLblPos val="nextTo"/>
        <c:crossAx val="133035136"/>
        <c:crosses val="autoZero"/>
        <c:auto val="1"/>
        <c:lblAlgn val="ctr"/>
        <c:lblOffset val="100"/>
        <c:noMultiLvlLbl val="0"/>
      </c:catAx>
      <c:valAx>
        <c:axId val="133035136"/>
        <c:scaling>
          <c:orientation val="minMax"/>
        </c:scaling>
        <c:delete val="0"/>
        <c:axPos val="l"/>
        <c:majorGridlines/>
        <c:numFmt formatCode="_(* #,##0_);_(* \(#,##0\);_(* &quot;-&quot;??_);_(@_)" sourceLinked="1"/>
        <c:majorTickMark val="out"/>
        <c:minorTickMark val="none"/>
        <c:tickLblPos val="nextTo"/>
        <c:crossAx val="133029248"/>
        <c:crosses val="autoZero"/>
        <c:crossBetween val="between"/>
      </c:valAx>
    </c:plotArea>
    <c:legend>
      <c:legendPos val="r"/>
      <c:layout>
        <c:manualLayout>
          <c:xMode val="edge"/>
          <c:yMode val="edge"/>
          <c:x val="0.7644970624223576"/>
          <c:y val="0.38857357729997383"/>
          <c:w val="0.22126806213280309"/>
          <c:h val="0.22667298392858443"/>
        </c:manualLayout>
      </c:layout>
      <c:overlay val="0"/>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7.9010376039443775E-2"/>
          <c:y val="0.16887309172432821"/>
          <c:w val="0.7675136262172837"/>
          <c:h val="0.70668256374031957"/>
        </c:manualLayout>
      </c:layout>
      <c:bar3DChart>
        <c:barDir val="col"/>
        <c:grouping val="clustered"/>
        <c:varyColors val="0"/>
        <c:ser>
          <c:idx val="0"/>
          <c:order val="0"/>
          <c:tx>
            <c:strRef>
              <c:f>'SC (T+G)'!#REF!</c:f>
              <c:strCache>
                <c:ptCount val="1"/>
                <c:pt idx="0">
                  <c:v>#REF!</c:v>
                </c:pt>
              </c:strCache>
            </c:strRef>
          </c:tx>
          <c:invertIfNegative val="0"/>
          <c:cat>
            <c:strRef>
              <c:f>'SC (T+G)'!$B$14:$F$14</c:f>
              <c:strCache>
                <c:ptCount val="5"/>
                <c:pt idx="0">
                  <c:v>Change in Use</c:v>
                </c:pt>
                <c:pt idx="1">
                  <c:v>Change in Health</c:v>
                </c:pt>
                <c:pt idx="2">
                  <c:v>Change in Satisfaction </c:v>
                </c:pt>
                <c:pt idx="3">
                  <c:v>Change in Use/Change in Health</c:v>
                </c:pt>
                <c:pt idx="4">
                  <c:v>TOTAL</c:v>
                </c:pt>
              </c:strCache>
            </c:strRef>
          </c:cat>
          <c:val>
            <c:numRef>
              <c:f>'SC (T+G)'!$B$16:$F$16</c:f>
              <c:numCache>
                <c:formatCode>"$"#,##0</c:formatCode>
                <c:ptCount val="5"/>
                <c:pt idx="0">
                  <c:v>98341213.769999996</c:v>
                </c:pt>
                <c:pt idx="1">
                  <c:v>94598116</c:v>
                </c:pt>
                <c:pt idx="2">
                  <c:v>7144944</c:v>
                </c:pt>
                <c:pt idx="3">
                  <c:v>59555329</c:v>
                </c:pt>
                <c:pt idx="4">
                  <c:v>259639602.76999998</c:v>
                </c:pt>
              </c:numCache>
            </c:numRef>
          </c:val>
        </c:ser>
        <c:ser>
          <c:idx val="1"/>
          <c:order val="1"/>
          <c:tx>
            <c:strRef>
              <c:f>'SC (T+G)'!$A$16</c:f>
              <c:strCache>
                <c:ptCount val="1"/>
              </c:strCache>
            </c:strRef>
          </c:tx>
          <c:invertIfNegative val="0"/>
          <c:cat>
            <c:strRef>
              <c:f>'SC (T+G)'!$B$14:$F$14</c:f>
              <c:strCache>
                <c:ptCount val="5"/>
                <c:pt idx="0">
                  <c:v>Change in Use</c:v>
                </c:pt>
                <c:pt idx="1">
                  <c:v>Change in Health</c:v>
                </c:pt>
                <c:pt idx="2">
                  <c:v>Change in Satisfaction </c:v>
                </c:pt>
                <c:pt idx="3">
                  <c:v>Change in Use/Change in Health</c:v>
                </c:pt>
                <c:pt idx="4">
                  <c:v>TOTAL</c:v>
                </c:pt>
              </c:strCache>
            </c:strRef>
          </c:cat>
          <c:val>
            <c:numRef>
              <c:f>'SC (T+G)'!$B$18:$F$18</c:f>
              <c:numCache>
                <c:formatCode>"$"#,##0</c:formatCode>
                <c:ptCount val="5"/>
                <c:pt idx="0">
                  <c:v>2563533</c:v>
                </c:pt>
                <c:pt idx="4">
                  <c:v>2563533</c:v>
                </c:pt>
              </c:numCache>
            </c:numRef>
          </c:val>
        </c:ser>
        <c:dLbls>
          <c:showLegendKey val="0"/>
          <c:showVal val="0"/>
          <c:showCatName val="0"/>
          <c:showSerName val="0"/>
          <c:showPercent val="0"/>
          <c:showBubbleSize val="0"/>
        </c:dLbls>
        <c:gapWidth val="150"/>
        <c:shape val="cylinder"/>
        <c:axId val="133056768"/>
        <c:axId val="133062656"/>
        <c:axId val="0"/>
      </c:bar3DChart>
      <c:catAx>
        <c:axId val="133056768"/>
        <c:scaling>
          <c:orientation val="minMax"/>
        </c:scaling>
        <c:delete val="0"/>
        <c:axPos val="b"/>
        <c:numFmt formatCode="General" sourceLinked="0"/>
        <c:majorTickMark val="out"/>
        <c:minorTickMark val="none"/>
        <c:tickLblPos val="nextTo"/>
        <c:crossAx val="133062656"/>
        <c:crosses val="autoZero"/>
        <c:auto val="1"/>
        <c:lblAlgn val="ctr"/>
        <c:lblOffset val="100"/>
        <c:noMultiLvlLbl val="0"/>
      </c:catAx>
      <c:valAx>
        <c:axId val="133062656"/>
        <c:scaling>
          <c:orientation val="minMax"/>
        </c:scaling>
        <c:delete val="0"/>
        <c:axPos val="l"/>
        <c:majorGridlines/>
        <c:numFmt formatCode="&quot;$&quot;#,##0" sourceLinked="1"/>
        <c:majorTickMark val="out"/>
        <c:minorTickMark val="none"/>
        <c:tickLblPos val="nextTo"/>
        <c:crossAx val="133056768"/>
        <c:crosses val="autoZero"/>
        <c:crossBetween val="between"/>
      </c:valAx>
    </c:plotArea>
    <c:legend>
      <c:legendPos val="r"/>
      <c:legendEntry>
        <c:idx val="1"/>
        <c:delete val="1"/>
      </c:legendEntry>
      <c:layout>
        <c:manualLayout>
          <c:xMode val="edge"/>
          <c:yMode val="edge"/>
          <c:x val="0.83744277074061357"/>
          <c:y val="0.20990556058278978"/>
          <c:w val="0.15386157708547304"/>
          <c:h val="0.37224346731430846"/>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0.11605888600829155"/>
          <c:y val="0.16794257778900271"/>
          <c:w val="0.6287889358579084"/>
          <c:h val="0.70961782701087983"/>
        </c:manualLayout>
      </c:layout>
      <c:bar3DChart>
        <c:barDir val="col"/>
        <c:grouping val="clustered"/>
        <c:varyColors val="0"/>
        <c:ser>
          <c:idx val="0"/>
          <c:order val="0"/>
          <c:tx>
            <c:strRef>
              <c:f>'SC (T+G)'!$A$3</c:f>
              <c:strCache>
                <c:ptCount val="1"/>
                <c:pt idx="0">
                  <c:v>Telemedicine</c:v>
                </c:pt>
              </c:strCache>
            </c:strRef>
          </c:tx>
          <c:invertIfNegative val="0"/>
          <c:cat>
            <c:strRef>
              <c:f>'SC (T+G)'!$E$1:$F$1</c:f>
              <c:strCache>
                <c:ptCount val="2"/>
                <c:pt idx="0">
                  <c:v>Total Individuals served during DY3-5</c:v>
                </c:pt>
                <c:pt idx="1">
                  <c:v>Total Encounters provided during DY3-5</c:v>
                </c:pt>
              </c:strCache>
            </c:strRef>
          </c:cat>
          <c:val>
            <c:numRef>
              <c:f>'SC (T+G)'!$E$3:$F$3</c:f>
              <c:numCache>
                <c:formatCode>_(* #,##0_);_(* \(#,##0\);_(* "-"??_);_(@_)</c:formatCode>
                <c:ptCount val="2"/>
                <c:pt idx="0">
                  <c:v>0</c:v>
                </c:pt>
                <c:pt idx="1">
                  <c:v>848</c:v>
                </c:pt>
              </c:numCache>
            </c:numRef>
          </c:val>
        </c:ser>
        <c:dLbls>
          <c:showLegendKey val="0"/>
          <c:showVal val="0"/>
          <c:showCatName val="0"/>
          <c:showSerName val="0"/>
          <c:showPercent val="0"/>
          <c:showBubbleSize val="0"/>
        </c:dLbls>
        <c:gapWidth val="150"/>
        <c:shape val="cylinder"/>
        <c:axId val="133096192"/>
        <c:axId val="133097728"/>
        <c:axId val="0"/>
      </c:bar3DChart>
      <c:catAx>
        <c:axId val="133096192"/>
        <c:scaling>
          <c:orientation val="minMax"/>
        </c:scaling>
        <c:delete val="0"/>
        <c:axPos val="b"/>
        <c:numFmt formatCode="General" sourceLinked="0"/>
        <c:majorTickMark val="out"/>
        <c:minorTickMark val="none"/>
        <c:tickLblPos val="nextTo"/>
        <c:crossAx val="133097728"/>
        <c:crosses val="autoZero"/>
        <c:auto val="1"/>
        <c:lblAlgn val="ctr"/>
        <c:lblOffset val="100"/>
        <c:noMultiLvlLbl val="0"/>
      </c:catAx>
      <c:valAx>
        <c:axId val="133097728"/>
        <c:scaling>
          <c:orientation val="minMax"/>
        </c:scaling>
        <c:delete val="0"/>
        <c:axPos val="l"/>
        <c:majorGridlines/>
        <c:numFmt formatCode="_(* #,##0_);_(* \(#,##0\);_(* &quot;-&quot;??_);_(@_)" sourceLinked="1"/>
        <c:majorTickMark val="out"/>
        <c:minorTickMark val="none"/>
        <c:tickLblPos val="nextTo"/>
        <c:crossAx val="133096192"/>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1135291308673595"/>
          <c:y val="0.15808342140156323"/>
          <c:w val="0.7298454748610349"/>
          <c:h val="0.75958718858263097"/>
        </c:manualLayout>
      </c:layout>
      <c:bar3DChart>
        <c:barDir val="col"/>
        <c:grouping val="clustered"/>
        <c:varyColors val="0"/>
        <c:ser>
          <c:idx val="0"/>
          <c:order val="0"/>
          <c:tx>
            <c:strRef>
              <c:f>'SC (T+G)'!$A$8</c:f>
              <c:strCache>
                <c:ptCount val="1"/>
                <c:pt idx="0">
                  <c:v>Individuals </c:v>
                </c:pt>
              </c:strCache>
            </c:strRef>
          </c:tx>
          <c:invertIfNegative val="0"/>
          <c:cat>
            <c:strRef>
              <c:f>'SC (T+G)'!$B$7:$E$7</c:f>
              <c:strCache>
                <c:ptCount val="4"/>
                <c:pt idx="0">
                  <c:v>QPI Target DY3</c:v>
                </c:pt>
                <c:pt idx="1">
                  <c:v>QPI Target DY4</c:v>
                </c:pt>
                <c:pt idx="2">
                  <c:v>QPI Target DY5</c:v>
                </c:pt>
                <c:pt idx="3">
                  <c:v>Cumulative Total</c:v>
                </c:pt>
              </c:strCache>
            </c:strRef>
          </c:cat>
          <c:val>
            <c:numRef>
              <c:f>'SC (T+G)'!$B$8:$E$8</c:f>
              <c:numCache>
                <c:formatCode>_(* #,##0_);_(* \(#,##0\);_(* "-"??_);_(@_)</c:formatCode>
                <c:ptCount val="4"/>
                <c:pt idx="0">
                  <c:v>2620</c:v>
                </c:pt>
                <c:pt idx="1">
                  <c:v>4120</c:v>
                </c:pt>
                <c:pt idx="2">
                  <c:v>27085</c:v>
                </c:pt>
                <c:pt idx="3">
                  <c:v>33825</c:v>
                </c:pt>
              </c:numCache>
            </c:numRef>
          </c:val>
        </c:ser>
        <c:ser>
          <c:idx val="1"/>
          <c:order val="1"/>
          <c:tx>
            <c:strRef>
              <c:f>'SC (T+G)'!$A$9</c:f>
              <c:strCache>
                <c:ptCount val="1"/>
                <c:pt idx="0">
                  <c:v>Encounters</c:v>
                </c:pt>
              </c:strCache>
            </c:strRef>
          </c:tx>
          <c:invertIfNegative val="0"/>
          <c:cat>
            <c:strRef>
              <c:f>'SC (T+G)'!$B$7:$E$7</c:f>
              <c:strCache>
                <c:ptCount val="4"/>
                <c:pt idx="0">
                  <c:v>QPI Target DY3</c:v>
                </c:pt>
                <c:pt idx="1">
                  <c:v>QPI Target DY4</c:v>
                </c:pt>
                <c:pt idx="2">
                  <c:v>QPI Target DY5</c:v>
                </c:pt>
                <c:pt idx="3">
                  <c:v>Cumulative Total</c:v>
                </c:pt>
              </c:strCache>
            </c:strRef>
          </c:cat>
          <c:val>
            <c:numRef>
              <c:f>'SC (T+G)'!$B$9:$E$9</c:f>
              <c:numCache>
                <c:formatCode>_(* #,##0_);_(* \(#,##0\);_(* "-"??_);_(@_)</c:formatCode>
                <c:ptCount val="4"/>
                <c:pt idx="0">
                  <c:v>133135</c:v>
                </c:pt>
                <c:pt idx="1">
                  <c:v>142649</c:v>
                </c:pt>
                <c:pt idx="2">
                  <c:v>146545</c:v>
                </c:pt>
                <c:pt idx="3">
                  <c:v>422329</c:v>
                </c:pt>
              </c:numCache>
            </c:numRef>
          </c:val>
        </c:ser>
        <c:dLbls>
          <c:showLegendKey val="0"/>
          <c:showVal val="0"/>
          <c:showCatName val="0"/>
          <c:showSerName val="0"/>
          <c:showPercent val="0"/>
          <c:showBubbleSize val="0"/>
        </c:dLbls>
        <c:gapWidth val="150"/>
        <c:shape val="cylinder"/>
        <c:axId val="133516672"/>
        <c:axId val="133522560"/>
        <c:axId val="0"/>
      </c:bar3DChart>
      <c:catAx>
        <c:axId val="133516672"/>
        <c:scaling>
          <c:orientation val="minMax"/>
        </c:scaling>
        <c:delete val="0"/>
        <c:axPos val="b"/>
        <c:numFmt formatCode="General" sourceLinked="0"/>
        <c:majorTickMark val="out"/>
        <c:minorTickMark val="none"/>
        <c:tickLblPos val="nextTo"/>
        <c:crossAx val="133522560"/>
        <c:crosses val="autoZero"/>
        <c:auto val="1"/>
        <c:lblAlgn val="ctr"/>
        <c:lblOffset val="100"/>
        <c:noMultiLvlLbl val="0"/>
      </c:catAx>
      <c:valAx>
        <c:axId val="133522560"/>
        <c:scaling>
          <c:orientation val="minMax"/>
        </c:scaling>
        <c:delete val="0"/>
        <c:axPos val="l"/>
        <c:majorGridlines/>
        <c:numFmt formatCode="_(* #,##0_);_(* \(#,##0\);_(* &quot;-&quot;??_);_(@_)" sourceLinked="1"/>
        <c:majorTickMark val="out"/>
        <c:minorTickMark val="none"/>
        <c:tickLblPos val="nextTo"/>
        <c:crossAx val="133516672"/>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Incentive Payment Amount during</a:t>
            </a:r>
            <a:r>
              <a:rPr lang="en-US" baseline="0"/>
              <a:t> DY2-5 for Cat 1, 2 and 3</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2047939632545932"/>
          <c:y val="0.27813684747739864"/>
          <c:w val="0.61301290463692037"/>
          <c:h val="0.42671369203849518"/>
        </c:manualLayout>
      </c:layout>
      <c:bar3DChart>
        <c:barDir val="col"/>
        <c:grouping val="clustered"/>
        <c:varyColors val="0"/>
        <c:ser>
          <c:idx val="0"/>
          <c:order val="0"/>
          <c:tx>
            <c:strRef>
              <c:f>'P&amp;W (T+G)'!$D$1</c:f>
              <c:strCache>
                <c:ptCount val="1"/>
                <c:pt idx="0">
                  <c:v>Target Incentive Payment Amount during DY2-5 for Cat 1, 2, 3 </c:v>
                </c:pt>
              </c:strCache>
            </c:strRef>
          </c:tx>
          <c:invertIfNegative val="0"/>
          <c:cat>
            <c:strRef>
              <c:f>'P&amp;W (T+G)'!$A$2:$A$6</c:f>
              <c:strCache>
                <c:ptCount val="5"/>
                <c:pt idx="0">
                  <c:v>Health Education</c:v>
                </c:pt>
                <c:pt idx="1">
                  <c:v>Registry/Data Sharing</c:v>
                </c:pt>
                <c:pt idx="2">
                  <c:v>Screening </c:v>
                </c:pt>
                <c:pt idx="3">
                  <c:v>Screening/Treatment</c:v>
                </c:pt>
                <c:pt idx="4">
                  <c:v>Tobacco Control</c:v>
                </c:pt>
              </c:strCache>
            </c:strRef>
          </c:cat>
          <c:val>
            <c:numRef>
              <c:f>'P&amp;W (T+G)'!$D$2:$D$6</c:f>
              <c:numCache>
                <c:formatCode>_("$"* #,##0_);_("$"* \(#,##0\);_("$"* "-"??_);_(@_)</c:formatCode>
                <c:ptCount val="5"/>
                <c:pt idx="0">
                  <c:v>62816461.360929929</c:v>
                </c:pt>
                <c:pt idx="1">
                  <c:v>339751</c:v>
                </c:pt>
                <c:pt idx="2">
                  <c:v>21184010</c:v>
                </c:pt>
                <c:pt idx="3">
                  <c:v>14310339.107567374</c:v>
                </c:pt>
                <c:pt idx="4">
                  <c:v>37127848.130000003</c:v>
                </c:pt>
              </c:numCache>
            </c:numRef>
          </c:val>
        </c:ser>
        <c:dLbls>
          <c:showLegendKey val="0"/>
          <c:showVal val="0"/>
          <c:showCatName val="0"/>
          <c:showSerName val="0"/>
          <c:showPercent val="0"/>
          <c:showBubbleSize val="0"/>
        </c:dLbls>
        <c:gapWidth val="150"/>
        <c:shape val="cylinder"/>
        <c:axId val="133650304"/>
        <c:axId val="133651840"/>
        <c:axId val="0"/>
      </c:bar3DChart>
      <c:catAx>
        <c:axId val="133650304"/>
        <c:scaling>
          <c:orientation val="minMax"/>
        </c:scaling>
        <c:delete val="0"/>
        <c:axPos val="b"/>
        <c:numFmt formatCode="General" sourceLinked="1"/>
        <c:majorTickMark val="out"/>
        <c:minorTickMark val="none"/>
        <c:tickLblPos val="nextTo"/>
        <c:crossAx val="133651840"/>
        <c:crosses val="autoZero"/>
        <c:auto val="1"/>
        <c:lblAlgn val="ctr"/>
        <c:lblOffset val="100"/>
        <c:noMultiLvlLbl val="0"/>
      </c:catAx>
      <c:valAx>
        <c:axId val="133651840"/>
        <c:scaling>
          <c:orientation val="minMax"/>
        </c:scaling>
        <c:delete val="0"/>
        <c:axPos val="l"/>
        <c:majorGridlines/>
        <c:numFmt formatCode="_(&quot;$&quot;* #,##0_);_(&quot;$&quot;* \(#,##0\);_(&quot;$&quot;* &quot;-&quot;??_);_(@_)" sourceLinked="1"/>
        <c:majorTickMark val="out"/>
        <c:minorTickMark val="none"/>
        <c:tickLblPos val="nextTo"/>
        <c:crossAx val="133650304"/>
        <c:crosses val="autoZero"/>
        <c:crossBetween val="between"/>
      </c:valAx>
    </c:plotArea>
    <c:legend>
      <c:legendPos val="r"/>
      <c:layout>
        <c:manualLayout>
          <c:xMode val="edge"/>
          <c:yMode val="edge"/>
          <c:x val="0.79465419947506555"/>
          <c:y val="0.23779235928842282"/>
          <c:w val="0.18867913385826812"/>
          <c:h val="0.43170713035870517"/>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8.1147399188737798E-2"/>
          <c:y val="0.20463398722558518"/>
          <c:w val="0.72642925316153795"/>
          <c:h val="0.65179524524752508"/>
        </c:manualLayout>
      </c:layout>
      <c:bar3DChart>
        <c:barDir val="col"/>
        <c:grouping val="clustered"/>
        <c:varyColors val="0"/>
        <c:ser>
          <c:idx val="0"/>
          <c:order val="0"/>
          <c:tx>
            <c:strRef>
              <c:f>'P&amp;W (T+G)'!$B$1</c:f>
              <c:strCache>
                <c:ptCount val="1"/>
                <c:pt idx="0">
                  <c:v>Total Projects</c:v>
                </c:pt>
              </c:strCache>
            </c:strRef>
          </c:tx>
          <c:invertIfNegative val="0"/>
          <c:cat>
            <c:strRef>
              <c:f>'P&amp;W (T+G)'!$A$2:$A$6</c:f>
              <c:strCache>
                <c:ptCount val="5"/>
                <c:pt idx="0">
                  <c:v>Health Education</c:v>
                </c:pt>
                <c:pt idx="1">
                  <c:v>Registry/Data Sharing</c:v>
                </c:pt>
                <c:pt idx="2">
                  <c:v>Screening </c:v>
                </c:pt>
                <c:pt idx="3">
                  <c:v>Screening/Treatment</c:v>
                </c:pt>
                <c:pt idx="4">
                  <c:v>Tobacco Control</c:v>
                </c:pt>
              </c:strCache>
            </c:strRef>
          </c:cat>
          <c:val>
            <c:numRef>
              <c:f>'P&amp;W (T+G)'!$B$2:$B$6</c:f>
              <c:numCache>
                <c:formatCode>General</c:formatCode>
                <c:ptCount val="5"/>
                <c:pt idx="0">
                  <c:v>6</c:v>
                </c:pt>
                <c:pt idx="1">
                  <c:v>1</c:v>
                </c:pt>
                <c:pt idx="2">
                  <c:v>3</c:v>
                </c:pt>
                <c:pt idx="3">
                  <c:v>2</c:v>
                </c:pt>
                <c:pt idx="4">
                  <c:v>3</c:v>
                </c:pt>
              </c:numCache>
            </c:numRef>
          </c:val>
        </c:ser>
        <c:ser>
          <c:idx val="1"/>
          <c:order val="1"/>
          <c:tx>
            <c:strRef>
              <c:f>'P&amp;W (T+G)'!$C$1</c:f>
              <c:strCache>
                <c:ptCount val="1"/>
                <c:pt idx="0">
                  <c:v>Total Providers</c:v>
                </c:pt>
              </c:strCache>
            </c:strRef>
          </c:tx>
          <c:invertIfNegative val="0"/>
          <c:cat>
            <c:strRef>
              <c:f>'P&amp;W (T+G)'!$A$2:$A$6</c:f>
              <c:strCache>
                <c:ptCount val="5"/>
                <c:pt idx="0">
                  <c:v>Health Education</c:v>
                </c:pt>
                <c:pt idx="1">
                  <c:v>Registry/Data Sharing</c:v>
                </c:pt>
                <c:pt idx="2">
                  <c:v>Screening </c:v>
                </c:pt>
                <c:pt idx="3">
                  <c:v>Screening/Treatment</c:v>
                </c:pt>
                <c:pt idx="4">
                  <c:v>Tobacco Control</c:v>
                </c:pt>
              </c:strCache>
            </c:strRef>
          </c:cat>
          <c:val>
            <c:numRef>
              <c:f>'P&amp;W (T+G)'!$C$2:$C$6</c:f>
              <c:numCache>
                <c:formatCode>General</c:formatCode>
                <c:ptCount val="5"/>
                <c:pt idx="0">
                  <c:v>3</c:v>
                </c:pt>
                <c:pt idx="1">
                  <c:v>1</c:v>
                </c:pt>
                <c:pt idx="2">
                  <c:v>2</c:v>
                </c:pt>
                <c:pt idx="3">
                  <c:v>1</c:v>
                </c:pt>
                <c:pt idx="4">
                  <c:v>1</c:v>
                </c:pt>
              </c:numCache>
            </c:numRef>
          </c:val>
        </c:ser>
        <c:dLbls>
          <c:showLegendKey val="0"/>
          <c:showVal val="0"/>
          <c:showCatName val="0"/>
          <c:showSerName val="0"/>
          <c:showPercent val="0"/>
          <c:showBubbleSize val="0"/>
        </c:dLbls>
        <c:gapWidth val="150"/>
        <c:shape val="cylinder"/>
        <c:axId val="136061696"/>
        <c:axId val="136063232"/>
        <c:axId val="0"/>
      </c:bar3DChart>
      <c:catAx>
        <c:axId val="136061696"/>
        <c:scaling>
          <c:orientation val="minMax"/>
        </c:scaling>
        <c:delete val="0"/>
        <c:axPos val="b"/>
        <c:numFmt formatCode="General" sourceLinked="1"/>
        <c:majorTickMark val="out"/>
        <c:minorTickMark val="none"/>
        <c:tickLblPos val="nextTo"/>
        <c:crossAx val="136063232"/>
        <c:crosses val="autoZero"/>
        <c:auto val="1"/>
        <c:lblAlgn val="ctr"/>
        <c:lblOffset val="100"/>
        <c:noMultiLvlLbl val="0"/>
      </c:catAx>
      <c:valAx>
        <c:axId val="136063232"/>
        <c:scaling>
          <c:orientation val="minMax"/>
        </c:scaling>
        <c:delete val="0"/>
        <c:axPos val="l"/>
        <c:majorGridlines/>
        <c:numFmt formatCode="General" sourceLinked="1"/>
        <c:majorTickMark val="out"/>
        <c:minorTickMark val="none"/>
        <c:tickLblPos val="nextTo"/>
        <c:crossAx val="136061696"/>
        <c:crosses val="autoZero"/>
        <c:crossBetween val="between"/>
      </c:valAx>
    </c:plotArea>
    <c:legend>
      <c:legendPos val="r"/>
      <c:layout>
        <c:manualLayout>
          <c:xMode val="edge"/>
          <c:yMode val="edge"/>
          <c:x val="0.817116972000271"/>
          <c:y val="0.38942790642293723"/>
          <c:w val="0.16969607492245284"/>
          <c:h val="0.25598263499977747"/>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9.9126045942284483E-2"/>
          <c:y val="0.20294005249343847"/>
          <c:w val="0.68474875541411206"/>
          <c:h val="0.65504230971128596"/>
        </c:manualLayout>
      </c:layout>
      <c:bar3DChart>
        <c:barDir val="col"/>
        <c:grouping val="clustered"/>
        <c:varyColors val="0"/>
        <c:ser>
          <c:idx val="0"/>
          <c:order val="0"/>
          <c:tx>
            <c:strRef>
              <c:f>'P&amp;W (T+G)'!$E$1</c:f>
              <c:strCache>
                <c:ptCount val="1"/>
                <c:pt idx="0">
                  <c:v>Total Individuals Served during DY3-5</c:v>
                </c:pt>
              </c:strCache>
            </c:strRef>
          </c:tx>
          <c:invertIfNegative val="0"/>
          <c:cat>
            <c:strRef>
              <c:f>'P&amp;W (T+G)'!$A$2:$A$6</c:f>
              <c:strCache>
                <c:ptCount val="5"/>
                <c:pt idx="0">
                  <c:v>Health Education</c:v>
                </c:pt>
                <c:pt idx="1">
                  <c:v>Registry/Data Sharing</c:v>
                </c:pt>
                <c:pt idx="2">
                  <c:v>Screening </c:v>
                </c:pt>
                <c:pt idx="3">
                  <c:v>Screening/Treatment</c:v>
                </c:pt>
                <c:pt idx="4">
                  <c:v>Tobacco Control</c:v>
                </c:pt>
              </c:strCache>
            </c:strRef>
          </c:cat>
          <c:val>
            <c:numRef>
              <c:f>'P&amp;W (T+G)'!$E$2:$E$6</c:f>
              <c:numCache>
                <c:formatCode>_(* #,##0_);_(* \(#,##0\);_(* "-"??_);_(@_)</c:formatCode>
                <c:ptCount val="5"/>
                <c:pt idx="0">
                  <c:v>64938</c:v>
                </c:pt>
                <c:pt idx="1">
                  <c:v>900</c:v>
                </c:pt>
                <c:pt idx="2">
                  <c:v>11340</c:v>
                </c:pt>
                <c:pt idx="3">
                  <c:v>2613</c:v>
                </c:pt>
                <c:pt idx="4">
                  <c:v>84165</c:v>
                </c:pt>
              </c:numCache>
            </c:numRef>
          </c:val>
        </c:ser>
        <c:ser>
          <c:idx val="1"/>
          <c:order val="1"/>
          <c:tx>
            <c:strRef>
              <c:f>'P&amp;W (T+G)'!$F$1</c:f>
              <c:strCache>
                <c:ptCount val="1"/>
                <c:pt idx="0">
                  <c:v>Total Encounters Provided during DY3-5</c:v>
                </c:pt>
              </c:strCache>
            </c:strRef>
          </c:tx>
          <c:invertIfNegative val="0"/>
          <c:cat>
            <c:strRef>
              <c:f>'P&amp;W (T+G)'!$A$2:$A$6</c:f>
              <c:strCache>
                <c:ptCount val="5"/>
                <c:pt idx="0">
                  <c:v>Health Education</c:v>
                </c:pt>
                <c:pt idx="1">
                  <c:v>Registry/Data Sharing</c:v>
                </c:pt>
                <c:pt idx="2">
                  <c:v>Screening </c:v>
                </c:pt>
                <c:pt idx="3">
                  <c:v>Screening/Treatment</c:v>
                </c:pt>
                <c:pt idx="4">
                  <c:v>Tobacco Control</c:v>
                </c:pt>
              </c:strCache>
            </c:strRef>
          </c:cat>
          <c:val>
            <c:numRef>
              <c:f>'P&amp;W (T+G)'!$F$2:$F$6</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shape val="cylinder"/>
        <c:axId val="136101248"/>
        <c:axId val="136107136"/>
        <c:axId val="0"/>
      </c:bar3DChart>
      <c:catAx>
        <c:axId val="136101248"/>
        <c:scaling>
          <c:orientation val="minMax"/>
        </c:scaling>
        <c:delete val="0"/>
        <c:axPos val="b"/>
        <c:numFmt formatCode="General" sourceLinked="0"/>
        <c:majorTickMark val="out"/>
        <c:minorTickMark val="none"/>
        <c:tickLblPos val="nextTo"/>
        <c:crossAx val="136107136"/>
        <c:crosses val="autoZero"/>
        <c:auto val="1"/>
        <c:lblAlgn val="ctr"/>
        <c:lblOffset val="100"/>
        <c:noMultiLvlLbl val="0"/>
      </c:catAx>
      <c:valAx>
        <c:axId val="136107136"/>
        <c:scaling>
          <c:orientation val="minMax"/>
        </c:scaling>
        <c:delete val="0"/>
        <c:axPos val="l"/>
        <c:majorGridlines/>
        <c:numFmt formatCode="_(* #,##0_);_(* \(#,##0\);_(* &quot;-&quot;??_);_(@_)" sourceLinked="1"/>
        <c:majorTickMark val="out"/>
        <c:minorTickMark val="none"/>
        <c:tickLblPos val="nextTo"/>
        <c:crossAx val="136101248"/>
        <c:crosses val="autoZero"/>
        <c:crossBetween val="between"/>
      </c:valAx>
    </c:plotArea>
    <c:legend>
      <c:legendPos val="r"/>
      <c:layout>
        <c:manualLayout>
          <c:xMode val="edge"/>
          <c:yMode val="edge"/>
          <c:x val="0.77931454147185319"/>
          <c:y val="0.42777889763779547"/>
          <c:w val="0.17964311956726145"/>
          <c:h val="0.21377553805774285"/>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QPI Grouping Type vs. Yearly QPI Targets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'P&amp;W (T+G)'!$A$11</c:f>
              <c:strCache>
                <c:ptCount val="1"/>
                <c:pt idx="0">
                  <c:v>Individuals</c:v>
                </c:pt>
              </c:strCache>
            </c:strRef>
          </c:tx>
          <c:invertIfNegative val="0"/>
          <c:cat>
            <c:strRef>
              <c:f>'P&amp;W (T+G)'!$B$10:$E$10</c:f>
              <c:strCache>
                <c:ptCount val="4"/>
                <c:pt idx="0">
                  <c:v>QPI Target: DY3</c:v>
                </c:pt>
                <c:pt idx="1">
                  <c:v>QPI Target: DY4</c:v>
                </c:pt>
                <c:pt idx="2">
                  <c:v>QPI Target: DY5</c:v>
                </c:pt>
                <c:pt idx="3">
                  <c:v>CUMULATIVE TARGET </c:v>
                </c:pt>
              </c:strCache>
            </c:strRef>
          </c:cat>
          <c:val>
            <c:numRef>
              <c:f>'P&amp;W (T+G)'!$B$11:$E$11</c:f>
              <c:numCache>
                <c:formatCode>_(* #,##0_);_(* \(#,##0\);_(* "-"??_);_(@_)</c:formatCode>
                <c:ptCount val="4"/>
                <c:pt idx="0">
                  <c:v>54652</c:v>
                </c:pt>
                <c:pt idx="1">
                  <c:v>54652</c:v>
                </c:pt>
                <c:pt idx="2">
                  <c:v>54652</c:v>
                </c:pt>
                <c:pt idx="3">
                  <c:v>163956</c:v>
                </c:pt>
              </c:numCache>
            </c:numRef>
          </c:val>
        </c:ser>
        <c:dLbls>
          <c:showLegendKey val="0"/>
          <c:showVal val="0"/>
          <c:showCatName val="0"/>
          <c:showSerName val="0"/>
          <c:showPercent val="0"/>
          <c:showBubbleSize val="0"/>
        </c:dLbls>
        <c:gapWidth val="150"/>
        <c:shape val="cylinder"/>
        <c:axId val="136336896"/>
        <c:axId val="136338432"/>
        <c:axId val="0"/>
      </c:bar3DChart>
      <c:catAx>
        <c:axId val="136336896"/>
        <c:scaling>
          <c:orientation val="minMax"/>
        </c:scaling>
        <c:delete val="0"/>
        <c:axPos val="b"/>
        <c:numFmt formatCode="General" sourceLinked="0"/>
        <c:majorTickMark val="out"/>
        <c:minorTickMark val="none"/>
        <c:tickLblPos val="nextTo"/>
        <c:crossAx val="136338432"/>
        <c:crosses val="autoZero"/>
        <c:auto val="1"/>
        <c:lblAlgn val="ctr"/>
        <c:lblOffset val="100"/>
        <c:noMultiLvlLbl val="0"/>
      </c:catAx>
      <c:valAx>
        <c:axId val="136338432"/>
        <c:scaling>
          <c:orientation val="minMax"/>
        </c:scaling>
        <c:delete val="0"/>
        <c:axPos val="l"/>
        <c:majorGridlines/>
        <c:numFmt formatCode="_(* #,##0_);_(* \(#,##0\);_(* &quot;-&quot;??_);_(@_)" sourceLinked="1"/>
        <c:majorTickMark val="out"/>
        <c:minorTickMark val="none"/>
        <c:tickLblPos val="nextTo"/>
        <c:crossAx val="136336896"/>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 Category vs. DY3-4 QPI Individuals MLIU Target</a:t>
            </a:r>
            <a:r>
              <a:rPr lang="en-US" baseline="0"/>
              <a:t> and Achieved Goal</a:t>
            </a:r>
            <a:endParaRPr lang="en-US"/>
          </a:p>
        </c:rich>
      </c:tx>
      <c:overlay val="0"/>
      <c:spPr>
        <a:noFill/>
        <a:ln>
          <a:noFill/>
        </a:ln>
        <a:effectLst/>
      </c:spPr>
    </c:title>
    <c:autoTitleDeleted val="0"/>
    <c:plotArea>
      <c:layout/>
      <c:barChart>
        <c:barDir val="col"/>
        <c:grouping val="clustered"/>
        <c:varyColors val="0"/>
        <c:ser>
          <c:idx val="0"/>
          <c:order val="0"/>
          <c:tx>
            <c:strRef>
              <c:f>'QPI Analysis'!$B$38</c:f>
              <c:strCache>
                <c:ptCount val="1"/>
                <c:pt idx="0">
                  <c:v>DY3 and DY4 MLIU QPI Target for Individuals</c:v>
                </c:pt>
              </c:strCache>
            </c:strRef>
          </c:tx>
          <c:spPr>
            <a:solidFill>
              <a:schemeClr val="accent1"/>
            </a:solidFill>
            <a:ln>
              <a:noFill/>
            </a:ln>
            <a:effectLst/>
          </c:spPr>
          <c:invertIfNegative val="0"/>
          <c:cat>
            <c:strRef>
              <c:f>'QPI Analysis'!$A$39:$A$46</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Analysis'!$B$39:$B$46</c:f>
              <c:numCache>
                <c:formatCode>_(* #,##0_);_(* \(#,##0\);_(* "-"??_);_(@_)</c:formatCode>
                <c:ptCount val="8"/>
                <c:pt idx="0">
                  <c:v>25818</c:v>
                </c:pt>
                <c:pt idx="1">
                  <c:v>7080</c:v>
                </c:pt>
                <c:pt idx="2">
                  <c:v>88245</c:v>
                </c:pt>
                <c:pt idx="3">
                  <c:v>124408</c:v>
                </c:pt>
                <c:pt idx="4">
                  <c:v>6790</c:v>
                </c:pt>
                <c:pt idx="5">
                  <c:v>10111</c:v>
                </c:pt>
                <c:pt idx="6">
                  <c:v>1158</c:v>
                </c:pt>
                <c:pt idx="7">
                  <c:v>141074</c:v>
                </c:pt>
              </c:numCache>
            </c:numRef>
          </c:val>
        </c:ser>
        <c:ser>
          <c:idx val="1"/>
          <c:order val="1"/>
          <c:tx>
            <c:strRef>
              <c:f>'QPI Analysis'!$C$38</c:f>
              <c:strCache>
                <c:ptCount val="1"/>
                <c:pt idx="0">
                  <c:v>DY3 and DY4 MLIU QPI Goal Achieved for Individuals</c:v>
                </c:pt>
              </c:strCache>
            </c:strRef>
          </c:tx>
          <c:spPr>
            <a:solidFill>
              <a:schemeClr val="accent2"/>
            </a:solidFill>
            <a:ln>
              <a:noFill/>
            </a:ln>
            <a:effectLst/>
          </c:spPr>
          <c:invertIfNegative val="0"/>
          <c:cat>
            <c:strRef>
              <c:f>'QPI Analysis'!$A$39:$A$46</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Analysis'!$C$39:$C$46</c:f>
              <c:numCache>
                <c:formatCode>_(* #,##0_);_(* \(#,##0\);_(* "-"??_);_(@_)</c:formatCode>
                <c:ptCount val="8"/>
                <c:pt idx="0">
                  <c:v>27108</c:v>
                </c:pt>
                <c:pt idx="1">
                  <c:v>8881</c:v>
                </c:pt>
                <c:pt idx="2">
                  <c:v>82707</c:v>
                </c:pt>
                <c:pt idx="3">
                  <c:v>107833</c:v>
                </c:pt>
                <c:pt idx="4">
                  <c:v>4432</c:v>
                </c:pt>
                <c:pt idx="5">
                  <c:v>10780</c:v>
                </c:pt>
                <c:pt idx="6">
                  <c:v>1989</c:v>
                </c:pt>
                <c:pt idx="7">
                  <c:v>156341</c:v>
                </c:pt>
              </c:numCache>
            </c:numRef>
          </c:val>
        </c:ser>
        <c:ser>
          <c:idx val="2"/>
          <c:order val="2"/>
          <c:tx>
            <c:strRef>
              <c:f>'QPI Analysis'!$D$38</c:f>
              <c:strCache>
                <c:ptCount val="1"/>
                <c:pt idx="0">
                  <c:v>% DY3 and DY4 MLIU QPI Target for Individuals</c:v>
                </c:pt>
              </c:strCache>
            </c:strRef>
          </c:tx>
          <c:spPr>
            <a:solidFill>
              <a:schemeClr val="accent3"/>
            </a:solidFill>
            <a:ln>
              <a:noFill/>
            </a:ln>
            <a:effectLst/>
          </c:spPr>
          <c:invertIfNegative val="0"/>
          <c:cat>
            <c:strRef>
              <c:f>'QPI Analysis'!$A$39:$A$46</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Analysis'!$D$39:$D$46</c:f>
              <c:numCache>
                <c:formatCode>_(* #,##0.0_);_(* \(#,##0.0\);_(* "-"??_);_(@_)</c:formatCode>
                <c:ptCount val="8"/>
                <c:pt idx="0">
                  <c:v>104.99651405995817</c:v>
                </c:pt>
                <c:pt idx="1">
                  <c:v>125.43785310734464</c:v>
                </c:pt>
                <c:pt idx="2">
                  <c:v>93.724290328063915</c:v>
                </c:pt>
                <c:pt idx="3">
                  <c:v>86.676901806957744</c:v>
                </c:pt>
                <c:pt idx="4">
                  <c:v>65.272459499263618</c:v>
                </c:pt>
                <c:pt idx="5">
                  <c:v>106.61655622589259</c:v>
                </c:pt>
                <c:pt idx="6">
                  <c:v>171.7616580310881</c:v>
                </c:pt>
                <c:pt idx="7">
                  <c:v>110.82197995378311</c:v>
                </c:pt>
              </c:numCache>
            </c:numRef>
          </c:val>
        </c:ser>
        <c:ser>
          <c:idx val="3"/>
          <c:order val="3"/>
          <c:tx>
            <c:strRef>
              <c:f>'QPI Analysis'!$E$38</c:f>
              <c:strCache>
                <c:ptCount val="1"/>
                <c:pt idx="0">
                  <c:v>DY3 and DY4 MLIU QPI Target for Encounters</c:v>
                </c:pt>
              </c:strCache>
            </c:strRef>
          </c:tx>
          <c:spPr>
            <a:solidFill>
              <a:schemeClr val="accent4"/>
            </a:solidFill>
            <a:ln>
              <a:noFill/>
            </a:ln>
            <a:effectLst/>
          </c:spPr>
          <c:invertIfNegative val="0"/>
          <c:cat>
            <c:strRef>
              <c:f>'QPI Analysis'!$A$39:$A$46</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Analysis'!$E$39:$E$46</c:f>
              <c:numCache>
                <c:formatCode>_(* #,##0_);_(* \(#,##0\);_(* "-"??_);_(@_)</c:formatCode>
                <c:ptCount val="8"/>
                <c:pt idx="0">
                  <c:v>33832</c:v>
                </c:pt>
                <c:pt idx="1">
                  <c:v>204034</c:v>
                </c:pt>
                <c:pt idx="2">
                  <c:v>189453</c:v>
                </c:pt>
                <c:pt idx="3">
                  <c:v>0</c:v>
                </c:pt>
                <c:pt idx="4">
                  <c:v>0</c:v>
                </c:pt>
                <c:pt idx="5">
                  <c:v>9379</c:v>
                </c:pt>
                <c:pt idx="6">
                  <c:v>600</c:v>
                </c:pt>
                <c:pt idx="7">
                  <c:v>0</c:v>
                </c:pt>
              </c:numCache>
            </c:numRef>
          </c:val>
        </c:ser>
        <c:dLbls>
          <c:showLegendKey val="0"/>
          <c:showVal val="0"/>
          <c:showCatName val="0"/>
          <c:showSerName val="0"/>
          <c:showPercent val="0"/>
          <c:showBubbleSize val="0"/>
        </c:dLbls>
        <c:gapWidth val="219"/>
        <c:overlap val="-27"/>
        <c:axId val="119977472"/>
        <c:axId val="119979392"/>
      </c:barChart>
      <c:catAx>
        <c:axId val="1199774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Project Category</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979392"/>
        <c:crosses val="autoZero"/>
        <c:auto val="1"/>
        <c:lblAlgn val="ctr"/>
        <c:lblOffset val="100"/>
        <c:noMultiLvlLbl val="0"/>
      </c:catAx>
      <c:valAx>
        <c:axId val="119979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baseline="0">
                    <a:effectLst/>
                  </a:rPr>
                  <a:t>DY3-4 QPI Individuals MLIU Target and Achieved Goal</a:t>
                </a:r>
                <a:endParaRPr lang="en-US"/>
              </a:p>
            </c:rich>
          </c:tx>
          <c:overlay val="0"/>
          <c:spPr>
            <a:noFill/>
            <a:ln>
              <a:noFill/>
            </a:ln>
            <a:effectLst/>
          </c:sp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977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6.647294576703637E-2"/>
          <c:y val="0.11562458003407416"/>
          <c:w val="0.69277454735788335"/>
          <c:h val="0.81869692946719363"/>
        </c:manualLayout>
      </c:layout>
      <c:bar3DChart>
        <c:barDir val="col"/>
        <c:grouping val="clustered"/>
        <c:varyColors val="0"/>
        <c:ser>
          <c:idx val="0"/>
          <c:order val="0"/>
          <c:tx>
            <c:strRef>
              <c:f>'P&amp;W (T+G)'!$B$17</c:f>
              <c:strCache>
                <c:ptCount val="1"/>
                <c:pt idx="0">
                  <c:v>Change in Use</c:v>
                </c:pt>
              </c:strCache>
            </c:strRef>
          </c:tx>
          <c:invertIfNegative val="0"/>
          <c:cat>
            <c:strRef>
              <c:f>'P&amp;W (T+G)'!$A$18:$A$27</c:f>
              <c:strCache>
                <c:ptCount val="9"/>
                <c:pt idx="0">
                  <c:v>Health Education</c:v>
                </c:pt>
                <c:pt idx="2">
                  <c:v>Registry/Data sharing</c:v>
                </c:pt>
                <c:pt idx="4">
                  <c:v>Screening</c:v>
                </c:pt>
                <c:pt idx="6">
                  <c:v>Screening/Treatment</c:v>
                </c:pt>
                <c:pt idx="8">
                  <c:v>Tobacco Control</c:v>
                </c:pt>
              </c:strCache>
            </c:strRef>
          </c:cat>
          <c:val>
            <c:numRef>
              <c:f>'P&amp;W (T+G)'!$B$18:$B$27</c:f>
              <c:numCache>
                <c:formatCode>"$"#,##0</c:formatCode>
                <c:ptCount val="10"/>
                <c:pt idx="0" formatCode="General">
                  <c:v>3</c:v>
                </c:pt>
                <c:pt idx="1">
                  <c:v>31432010</c:v>
                </c:pt>
                <c:pt idx="2" formatCode="0">
                  <c:v>1</c:v>
                </c:pt>
                <c:pt idx="3">
                  <c:v>339751</c:v>
                </c:pt>
                <c:pt idx="4" formatCode="0">
                  <c:v>3</c:v>
                </c:pt>
                <c:pt idx="5">
                  <c:v>21184010</c:v>
                </c:pt>
                <c:pt idx="6" formatCode="General">
                  <c:v>1</c:v>
                </c:pt>
                <c:pt idx="7">
                  <c:v>11206563.30565525</c:v>
                </c:pt>
              </c:numCache>
            </c:numRef>
          </c:val>
        </c:ser>
        <c:ser>
          <c:idx val="1"/>
          <c:order val="1"/>
          <c:tx>
            <c:strRef>
              <c:f>'P&amp;W (T+G)'!$C$17</c:f>
              <c:strCache>
                <c:ptCount val="1"/>
                <c:pt idx="0">
                  <c:v>Change in Health </c:v>
                </c:pt>
              </c:strCache>
            </c:strRef>
          </c:tx>
          <c:invertIfNegative val="0"/>
          <c:cat>
            <c:strRef>
              <c:f>'P&amp;W (T+G)'!$A$18:$A$27</c:f>
              <c:strCache>
                <c:ptCount val="9"/>
                <c:pt idx="0">
                  <c:v>Health Education</c:v>
                </c:pt>
                <c:pt idx="2">
                  <c:v>Registry/Data sharing</c:v>
                </c:pt>
                <c:pt idx="4">
                  <c:v>Screening</c:v>
                </c:pt>
                <c:pt idx="6">
                  <c:v>Screening/Treatment</c:v>
                </c:pt>
                <c:pt idx="8">
                  <c:v>Tobacco Control</c:v>
                </c:pt>
              </c:strCache>
            </c:strRef>
          </c:cat>
          <c:val>
            <c:numRef>
              <c:f>'P&amp;W (T+G)'!$C$18:$C$27</c:f>
              <c:numCache>
                <c:formatCode>"$"#,##0</c:formatCode>
                <c:ptCount val="10"/>
                <c:pt idx="0" formatCode="General">
                  <c:v>2</c:v>
                </c:pt>
                <c:pt idx="1">
                  <c:v>20095165.854418527</c:v>
                </c:pt>
              </c:numCache>
            </c:numRef>
          </c:val>
        </c:ser>
        <c:ser>
          <c:idx val="2"/>
          <c:order val="2"/>
          <c:tx>
            <c:strRef>
              <c:f>'P&amp;W (T+G)'!$D$17</c:f>
              <c:strCache>
                <c:ptCount val="1"/>
                <c:pt idx="0">
                  <c:v>Change in Behavior</c:v>
                </c:pt>
              </c:strCache>
            </c:strRef>
          </c:tx>
          <c:invertIfNegative val="0"/>
          <c:cat>
            <c:strRef>
              <c:f>'P&amp;W (T+G)'!$A$18:$A$27</c:f>
              <c:strCache>
                <c:ptCount val="9"/>
                <c:pt idx="0">
                  <c:v>Health Education</c:v>
                </c:pt>
                <c:pt idx="2">
                  <c:v>Registry/Data sharing</c:v>
                </c:pt>
                <c:pt idx="4">
                  <c:v>Screening</c:v>
                </c:pt>
                <c:pt idx="6">
                  <c:v>Screening/Treatment</c:v>
                </c:pt>
                <c:pt idx="8">
                  <c:v>Tobacco Control</c:v>
                </c:pt>
              </c:strCache>
            </c:strRef>
          </c:cat>
          <c:val>
            <c:numRef>
              <c:f>'P&amp;W (T+G)'!$D$18:$D$27</c:f>
              <c:numCache>
                <c:formatCode>"$"#,##0</c:formatCode>
                <c:ptCount val="10"/>
                <c:pt idx="8" formatCode="General">
                  <c:v>3</c:v>
                </c:pt>
                <c:pt idx="9">
                  <c:v>37127848.130000003</c:v>
                </c:pt>
              </c:numCache>
            </c:numRef>
          </c:val>
        </c:ser>
        <c:ser>
          <c:idx val="3"/>
          <c:order val="3"/>
          <c:tx>
            <c:strRef>
              <c:f>'P&amp;W (T+G)'!$E$17</c:f>
              <c:strCache>
                <c:ptCount val="1"/>
                <c:pt idx="0">
                  <c:v>Change in Health/Change in Use</c:v>
                </c:pt>
              </c:strCache>
            </c:strRef>
          </c:tx>
          <c:invertIfNegative val="0"/>
          <c:cat>
            <c:strRef>
              <c:f>'P&amp;W (T+G)'!$A$18:$A$27</c:f>
              <c:strCache>
                <c:ptCount val="9"/>
                <c:pt idx="0">
                  <c:v>Health Education</c:v>
                </c:pt>
                <c:pt idx="2">
                  <c:v>Registry/Data sharing</c:v>
                </c:pt>
                <c:pt idx="4">
                  <c:v>Screening</c:v>
                </c:pt>
                <c:pt idx="6">
                  <c:v>Screening/Treatment</c:v>
                </c:pt>
                <c:pt idx="8">
                  <c:v>Tobacco Control</c:v>
                </c:pt>
              </c:strCache>
            </c:strRef>
          </c:cat>
          <c:val>
            <c:numRef>
              <c:f>'P&amp;W (T+G)'!$E$18:$E$27</c:f>
              <c:numCache>
                <c:formatCode>"$"#,##0</c:formatCode>
                <c:ptCount val="10"/>
                <c:pt idx="0" formatCode="General">
                  <c:v>1</c:v>
                </c:pt>
                <c:pt idx="1">
                  <c:v>11289285.506511401</c:v>
                </c:pt>
              </c:numCache>
            </c:numRef>
          </c:val>
        </c:ser>
        <c:dLbls>
          <c:showLegendKey val="0"/>
          <c:showVal val="0"/>
          <c:showCatName val="0"/>
          <c:showSerName val="0"/>
          <c:showPercent val="0"/>
          <c:showBubbleSize val="0"/>
        </c:dLbls>
        <c:gapWidth val="150"/>
        <c:shape val="cylinder"/>
        <c:axId val="136374144"/>
        <c:axId val="136375680"/>
        <c:axId val="0"/>
      </c:bar3DChart>
      <c:catAx>
        <c:axId val="136374144"/>
        <c:scaling>
          <c:orientation val="minMax"/>
        </c:scaling>
        <c:delete val="0"/>
        <c:axPos val="b"/>
        <c:numFmt formatCode="General" sourceLinked="0"/>
        <c:majorTickMark val="out"/>
        <c:minorTickMark val="none"/>
        <c:tickLblPos val="nextTo"/>
        <c:crossAx val="136375680"/>
        <c:crosses val="autoZero"/>
        <c:auto val="1"/>
        <c:lblAlgn val="ctr"/>
        <c:lblOffset val="100"/>
        <c:noMultiLvlLbl val="0"/>
      </c:catAx>
      <c:valAx>
        <c:axId val="136375680"/>
        <c:scaling>
          <c:orientation val="minMax"/>
        </c:scaling>
        <c:delete val="0"/>
        <c:axPos val="l"/>
        <c:majorGridlines/>
        <c:numFmt formatCode="General" sourceLinked="1"/>
        <c:majorTickMark val="out"/>
        <c:minorTickMark val="none"/>
        <c:tickLblPos val="nextTo"/>
        <c:crossAx val="136374144"/>
        <c:crosses val="autoZero"/>
        <c:crossBetween val="between"/>
      </c:valAx>
    </c:plotArea>
    <c:legend>
      <c:legendPos val="r"/>
      <c:layout>
        <c:manualLayout>
          <c:xMode val="edge"/>
          <c:yMode val="edge"/>
          <c:x val="0.80235990036839278"/>
          <c:y val="0.31298807652870714"/>
          <c:w val="0.1905604542716694"/>
          <c:h val="0.40548431373722893"/>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7.767894866800186E-2"/>
          <c:y val="0.1953314607603874"/>
          <c:w val="0.74757185839575069"/>
          <c:h val="0.62433086215100364"/>
        </c:manualLayout>
      </c:layout>
      <c:bar3DChart>
        <c:barDir val="col"/>
        <c:grouping val="clustered"/>
        <c:varyColors val="0"/>
        <c:ser>
          <c:idx val="0"/>
          <c:order val="0"/>
          <c:tx>
            <c:strRef>
              <c:f>'General (T+G)'!$B$1</c:f>
              <c:strCache>
                <c:ptCount val="1"/>
                <c:pt idx="0">
                  <c:v>Total Projects</c:v>
                </c:pt>
              </c:strCache>
            </c:strRef>
          </c:tx>
          <c:invertIfNegative val="0"/>
          <c:cat>
            <c:strRef>
              <c:f>'General (T+G)'!$A$2:$A$3</c:f>
              <c:strCache>
                <c:ptCount val="2"/>
                <c:pt idx="0">
                  <c:v>Quality Improvement</c:v>
                </c:pt>
                <c:pt idx="1">
                  <c:v>Pharmacy Dispensing</c:v>
                </c:pt>
              </c:strCache>
            </c:strRef>
          </c:cat>
          <c:val>
            <c:numRef>
              <c:f>'General (T+G)'!$B$2:$B$3</c:f>
              <c:numCache>
                <c:formatCode>General</c:formatCode>
                <c:ptCount val="2"/>
                <c:pt idx="0">
                  <c:v>5</c:v>
                </c:pt>
                <c:pt idx="1">
                  <c:v>2</c:v>
                </c:pt>
              </c:numCache>
            </c:numRef>
          </c:val>
        </c:ser>
        <c:ser>
          <c:idx val="1"/>
          <c:order val="1"/>
          <c:tx>
            <c:strRef>
              <c:f>'General (T+G)'!$C$1</c:f>
              <c:strCache>
                <c:ptCount val="1"/>
                <c:pt idx="0">
                  <c:v>Total Providers </c:v>
                </c:pt>
              </c:strCache>
            </c:strRef>
          </c:tx>
          <c:invertIfNegative val="0"/>
          <c:cat>
            <c:strRef>
              <c:f>'General (T+G)'!$A$2:$A$3</c:f>
              <c:strCache>
                <c:ptCount val="2"/>
                <c:pt idx="0">
                  <c:v>Quality Improvement</c:v>
                </c:pt>
                <c:pt idx="1">
                  <c:v>Pharmacy Dispensing</c:v>
                </c:pt>
              </c:strCache>
            </c:strRef>
          </c:cat>
          <c:val>
            <c:numRef>
              <c:f>'General (T+G)'!$C$2:$C$3</c:f>
              <c:numCache>
                <c:formatCode>General</c:formatCode>
                <c:ptCount val="2"/>
                <c:pt idx="0">
                  <c:v>5</c:v>
                </c:pt>
                <c:pt idx="1">
                  <c:v>2</c:v>
                </c:pt>
              </c:numCache>
            </c:numRef>
          </c:val>
        </c:ser>
        <c:dLbls>
          <c:showLegendKey val="0"/>
          <c:showVal val="0"/>
          <c:showCatName val="0"/>
          <c:showSerName val="0"/>
          <c:showPercent val="0"/>
          <c:showBubbleSize val="0"/>
        </c:dLbls>
        <c:gapWidth val="150"/>
        <c:shape val="cylinder"/>
        <c:axId val="137593984"/>
        <c:axId val="137595520"/>
        <c:axId val="0"/>
      </c:bar3DChart>
      <c:catAx>
        <c:axId val="137593984"/>
        <c:scaling>
          <c:orientation val="minMax"/>
        </c:scaling>
        <c:delete val="0"/>
        <c:axPos val="b"/>
        <c:numFmt formatCode="General" sourceLinked="0"/>
        <c:majorTickMark val="out"/>
        <c:minorTickMark val="none"/>
        <c:tickLblPos val="nextTo"/>
        <c:crossAx val="137595520"/>
        <c:crosses val="autoZero"/>
        <c:auto val="1"/>
        <c:lblAlgn val="ctr"/>
        <c:lblOffset val="100"/>
        <c:noMultiLvlLbl val="0"/>
      </c:catAx>
      <c:valAx>
        <c:axId val="137595520"/>
        <c:scaling>
          <c:orientation val="minMax"/>
        </c:scaling>
        <c:delete val="0"/>
        <c:axPos val="l"/>
        <c:majorGridlines/>
        <c:numFmt formatCode="General" sourceLinked="1"/>
        <c:majorTickMark val="out"/>
        <c:minorTickMark val="none"/>
        <c:tickLblPos val="nextTo"/>
        <c:crossAx val="137593984"/>
        <c:crosses val="autoZero"/>
        <c:crossBetween val="between"/>
      </c:valAx>
    </c:plotArea>
    <c:legend>
      <c:legendPos val="r"/>
      <c:layout>
        <c:manualLayout>
          <c:xMode val="edge"/>
          <c:yMode val="edge"/>
          <c:x val="0.80434488371880364"/>
          <c:y val="0.22644901843409954"/>
          <c:w val="0.18171783405123199"/>
          <c:h val="0.48862243096805941"/>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6472898204797598"/>
          <c:y val="0.30221844220691935"/>
          <c:w val="0.61670077825637792"/>
          <c:h val="0.46799454946180508"/>
        </c:manualLayout>
      </c:layout>
      <c:bar3DChart>
        <c:barDir val="col"/>
        <c:grouping val="clustered"/>
        <c:varyColors val="0"/>
        <c:ser>
          <c:idx val="0"/>
          <c:order val="0"/>
          <c:tx>
            <c:strRef>
              <c:f>'General (T+G)'!$D$1</c:f>
              <c:strCache>
                <c:ptCount val="1"/>
                <c:pt idx="0">
                  <c:v>Target Incentive Payment Amount during DY3-5 for Cat 1, 2, 3</c:v>
                </c:pt>
              </c:strCache>
            </c:strRef>
          </c:tx>
          <c:invertIfNegative val="0"/>
          <c:cat>
            <c:strRef>
              <c:f>'General (T+G)'!$A$2:$A$3</c:f>
              <c:strCache>
                <c:ptCount val="2"/>
                <c:pt idx="0">
                  <c:v>Quality Improvement</c:v>
                </c:pt>
                <c:pt idx="1">
                  <c:v>Pharmacy Dispensing</c:v>
                </c:pt>
              </c:strCache>
            </c:strRef>
          </c:cat>
          <c:val>
            <c:numRef>
              <c:f>'General (T+G)'!$D$2:$D$3</c:f>
              <c:numCache>
                <c:formatCode>_("$"* #,##0_);_("$"* \(#,##0\);_("$"* "-"??_);_(@_)</c:formatCode>
                <c:ptCount val="2"/>
                <c:pt idx="0">
                  <c:v>51552742.848658197</c:v>
                </c:pt>
                <c:pt idx="1">
                  <c:v>35691559.079999998</c:v>
                </c:pt>
              </c:numCache>
            </c:numRef>
          </c:val>
        </c:ser>
        <c:dLbls>
          <c:showLegendKey val="0"/>
          <c:showVal val="0"/>
          <c:showCatName val="0"/>
          <c:showSerName val="0"/>
          <c:showPercent val="0"/>
          <c:showBubbleSize val="0"/>
        </c:dLbls>
        <c:gapWidth val="150"/>
        <c:shape val="cylinder"/>
        <c:axId val="137604096"/>
        <c:axId val="137622272"/>
        <c:axId val="0"/>
      </c:bar3DChart>
      <c:catAx>
        <c:axId val="137604096"/>
        <c:scaling>
          <c:orientation val="minMax"/>
        </c:scaling>
        <c:delete val="0"/>
        <c:axPos val="b"/>
        <c:numFmt formatCode="General" sourceLinked="0"/>
        <c:majorTickMark val="out"/>
        <c:minorTickMark val="none"/>
        <c:tickLblPos val="nextTo"/>
        <c:crossAx val="137622272"/>
        <c:crosses val="autoZero"/>
        <c:auto val="1"/>
        <c:lblAlgn val="ctr"/>
        <c:lblOffset val="100"/>
        <c:noMultiLvlLbl val="0"/>
      </c:catAx>
      <c:valAx>
        <c:axId val="137622272"/>
        <c:scaling>
          <c:orientation val="minMax"/>
        </c:scaling>
        <c:delete val="0"/>
        <c:axPos val="l"/>
        <c:majorGridlines/>
        <c:numFmt formatCode="_(&quot;$&quot;* #,##0_);_(&quot;$&quot;* \(#,##0\);_(&quot;$&quot;* &quot;-&quot;??_);_(@_)" sourceLinked="1"/>
        <c:majorTickMark val="out"/>
        <c:minorTickMark val="none"/>
        <c:tickLblPos val="nextTo"/>
        <c:crossAx val="137604096"/>
        <c:crosses val="autoZero"/>
        <c:crossBetween val="between"/>
      </c:valAx>
    </c:plotArea>
    <c:legend>
      <c:legendPos val="r"/>
      <c:layout>
        <c:manualLayout>
          <c:xMode val="edge"/>
          <c:yMode val="edge"/>
          <c:x val="0.78142976030435218"/>
          <c:y val="0.39961480424703111"/>
          <c:w val="0.20463295746568264"/>
          <c:h val="0.29345331833520832"/>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0454356677720045"/>
          <c:y val="0.24575035342491419"/>
          <c:w val="0.67827400422333028"/>
          <c:h val="0.6370213402744852"/>
        </c:manualLayout>
      </c:layout>
      <c:bar3DChart>
        <c:barDir val="col"/>
        <c:grouping val="clustered"/>
        <c:varyColors val="0"/>
        <c:ser>
          <c:idx val="0"/>
          <c:order val="0"/>
          <c:tx>
            <c:strRef>
              <c:f>'General (T+G)'!$E$1</c:f>
              <c:strCache>
                <c:ptCount val="1"/>
                <c:pt idx="0">
                  <c:v>Total Individuals served during DY3-5</c:v>
                </c:pt>
              </c:strCache>
            </c:strRef>
          </c:tx>
          <c:invertIfNegative val="0"/>
          <c:cat>
            <c:strRef>
              <c:f>'General (T+G)'!$A$2:$A$3</c:f>
              <c:strCache>
                <c:ptCount val="2"/>
                <c:pt idx="0">
                  <c:v>Quality Improvement</c:v>
                </c:pt>
                <c:pt idx="1">
                  <c:v>Pharmacy Dispensing</c:v>
                </c:pt>
              </c:strCache>
            </c:strRef>
          </c:cat>
          <c:val>
            <c:numRef>
              <c:f>'General (T+G)'!$E$2:$E$3</c:f>
              <c:numCache>
                <c:formatCode>_(* #,##0_);_(* \(#,##0\);_(* "-"??_);_(@_)</c:formatCode>
                <c:ptCount val="2"/>
                <c:pt idx="0" formatCode="#,##0">
                  <c:v>22740</c:v>
                </c:pt>
                <c:pt idx="1">
                  <c:v>248772</c:v>
                </c:pt>
              </c:numCache>
            </c:numRef>
          </c:val>
        </c:ser>
        <c:ser>
          <c:idx val="1"/>
          <c:order val="1"/>
          <c:tx>
            <c:strRef>
              <c:f>'General (T+G)'!$F$1</c:f>
              <c:strCache>
                <c:ptCount val="1"/>
                <c:pt idx="0">
                  <c:v>Total Encounters provided during DY3-5</c:v>
                </c:pt>
              </c:strCache>
            </c:strRef>
          </c:tx>
          <c:invertIfNegative val="0"/>
          <c:cat>
            <c:strRef>
              <c:f>'General (T+G)'!$A$2:$A$3</c:f>
              <c:strCache>
                <c:ptCount val="2"/>
                <c:pt idx="0">
                  <c:v>Quality Improvement</c:v>
                </c:pt>
                <c:pt idx="1">
                  <c:v>Pharmacy Dispensing</c:v>
                </c:pt>
              </c:strCache>
            </c:strRef>
          </c:cat>
          <c:val>
            <c:numRef>
              <c:f>'General (T+G)'!$F$2:$F$3</c:f>
              <c:numCache>
                <c:formatCode>_(* #,##0_);_(* \(#,##0\);_(* "-"??_);_(@_)</c:formatCode>
                <c:ptCount val="2"/>
                <c:pt idx="0">
                  <c:v>30000</c:v>
                </c:pt>
                <c:pt idx="1">
                  <c:v>348000</c:v>
                </c:pt>
              </c:numCache>
            </c:numRef>
          </c:val>
        </c:ser>
        <c:dLbls>
          <c:showLegendKey val="0"/>
          <c:showVal val="0"/>
          <c:showCatName val="0"/>
          <c:showSerName val="0"/>
          <c:showPercent val="0"/>
          <c:showBubbleSize val="0"/>
        </c:dLbls>
        <c:gapWidth val="150"/>
        <c:shape val="cylinder"/>
        <c:axId val="137668480"/>
        <c:axId val="137670016"/>
        <c:axId val="0"/>
      </c:bar3DChart>
      <c:catAx>
        <c:axId val="137668480"/>
        <c:scaling>
          <c:orientation val="minMax"/>
        </c:scaling>
        <c:delete val="0"/>
        <c:axPos val="b"/>
        <c:numFmt formatCode="General" sourceLinked="0"/>
        <c:majorTickMark val="out"/>
        <c:minorTickMark val="none"/>
        <c:tickLblPos val="nextTo"/>
        <c:crossAx val="137670016"/>
        <c:crosses val="autoZero"/>
        <c:auto val="1"/>
        <c:lblAlgn val="ctr"/>
        <c:lblOffset val="100"/>
        <c:noMultiLvlLbl val="0"/>
      </c:catAx>
      <c:valAx>
        <c:axId val="137670016"/>
        <c:scaling>
          <c:orientation val="minMax"/>
        </c:scaling>
        <c:delete val="0"/>
        <c:axPos val="l"/>
        <c:majorGridlines/>
        <c:numFmt formatCode="#,##0" sourceLinked="1"/>
        <c:majorTickMark val="out"/>
        <c:minorTickMark val="none"/>
        <c:tickLblPos val="nextTo"/>
        <c:crossAx val="137668480"/>
        <c:crosses val="autoZero"/>
        <c:crossBetween val="between"/>
      </c:valAx>
    </c:plotArea>
    <c:legend>
      <c:legendPos val="r"/>
      <c:layout>
        <c:manualLayout>
          <c:xMode val="edge"/>
          <c:yMode val="edge"/>
          <c:x val="0.78071369206070662"/>
          <c:y val="0.35788527775258944"/>
          <c:w val="0.20666303430035021"/>
          <c:h val="0.23703179560667934"/>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9.6999111331555948E-2"/>
          <c:y val="0.19256595251174999"/>
          <c:w val="0.73531684130034891"/>
          <c:h val="0.69190966245498431"/>
        </c:manualLayout>
      </c:layout>
      <c:bar3DChart>
        <c:barDir val="col"/>
        <c:grouping val="clustered"/>
        <c:varyColors val="0"/>
        <c:ser>
          <c:idx val="0"/>
          <c:order val="0"/>
          <c:tx>
            <c:strRef>
              <c:f>'General (T+G)'!$A$9</c:f>
              <c:strCache>
                <c:ptCount val="1"/>
                <c:pt idx="0">
                  <c:v>Individuals</c:v>
                </c:pt>
              </c:strCache>
            </c:strRef>
          </c:tx>
          <c:invertIfNegative val="0"/>
          <c:cat>
            <c:strRef>
              <c:f>'General (T+G)'!$B$8:$E$8</c:f>
              <c:strCache>
                <c:ptCount val="4"/>
                <c:pt idx="0">
                  <c:v>QPI Target DY3</c:v>
                </c:pt>
                <c:pt idx="1">
                  <c:v>QPI Target DY4</c:v>
                </c:pt>
                <c:pt idx="2">
                  <c:v>QPI Target DY5</c:v>
                </c:pt>
                <c:pt idx="3">
                  <c:v>Cumulative Target</c:v>
                </c:pt>
              </c:strCache>
            </c:strRef>
          </c:cat>
          <c:val>
            <c:numRef>
              <c:f>'General (T+G)'!$B$9:$E$9</c:f>
              <c:numCache>
                <c:formatCode>_(* #,##0_);_(* \(#,##0\);_(* "-"??_);_(@_)</c:formatCode>
                <c:ptCount val="4"/>
                <c:pt idx="0">
                  <c:v>32916</c:v>
                </c:pt>
                <c:pt idx="1">
                  <c:v>86933</c:v>
                </c:pt>
                <c:pt idx="2">
                  <c:v>151663</c:v>
                </c:pt>
                <c:pt idx="3">
                  <c:v>271512</c:v>
                </c:pt>
              </c:numCache>
            </c:numRef>
          </c:val>
        </c:ser>
        <c:ser>
          <c:idx val="1"/>
          <c:order val="1"/>
          <c:tx>
            <c:strRef>
              <c:f>'General (T+G)'!$A$10</c:f>
              <c:strCache>
                <c:ptCount val="1"/>
                <c:pt idx="0">
                  <c:v>Encounters</c:v>
                </c:pt>
              </c:strCache>
            </c:strRef>
          </c:tx>
          <c:invertIfNegative val="0"/>
          <c:cat>
            <c:strRef>
              <c:f>'General (T+G)'!$B$8:$E$8</c:f>
              <c:strCache>
                <c:ptCount val="4"/>
                <c:pt idx="0">
                  <c:v>QPI Target DY3</c:v>
                </c:pt>
                <c:pt idx="1">
                  <c:v>QPI Target DY4</c:v>
                </c:pt>
                <c:pt idx="2">
                  <c:v>QPI Target DY5</c:v>
                </c:pt>
                <c:pt idx="3">
                  <c:v>Cumulative Target</c:v>
                </c:pt>
              </c:strCache>
            </c:strRef>
          </c:cat>
          <c:val>
            <c:numRef>
              <c:f>'General (T+G)'!$B$10:$E$10</c:f>
              <c:numCache>
                <c:formatCode>_(* #,##0_);_(* \(#,##0\);_(* "-"??_);_(@_)</c:formatCode>
                <c:ptCount val="4"/>
                <c:pt idx="0">
                  <c:v>24000</c:v>
                </c:pt>
                <c:pt idx="1">
                  <c:v>108000</c:v>
                </c:pt>
                <c:pt idx="2">
                  <c:v>246000</c:v>
                </c:pt>
                <c:pt idx="3">
                  <c:v>378000</c:v>
                </c:pt>
              </c:numCache>
            </c:numRef>
          </c:val>
        </c:ser>
        <c:dLbls>
          <c:showLegendKey val="0"/>
          <c:showVal val="0"/>
          <c:showCatName val="0"/>
          <c:showSerName val="0"/>
          <c:showPercent val="0"/>
          <c:showBubbleSize val="0"/>
        </c:dLbls>
        <c:gapWidth val="150"/>
        <c:shape val="cylinder"/>
        <c:axId val="137704192"/>
        <c:axId val="137705728"/>
        <c:axId val="0"/>
      </c:bar3DChart>
      <c:catAx>
        <c:axId val="137704192"/>
        <c:scaling>
          <c:orientation val="minMax"/>
        </c:scaling>
        <c:delete val="0"/>
        <c:axPos val="b"/>
        <c:numFmt formatCode="General" sourceLinked="0"/>
        <c:majorTickMark val="out"/>
        <c:minorTickMark val="none"/>
        <c:tickLblPos val="nextTo"/>
        <c:crossAx val="137705728"/>
        <c:crosses val="autoZero"/>
        <c:auto val="1"/>
        <c:lblAlgn val="ctr"/>
        <c:lblOffset val="100"/>
        <c:noMultiLvlLbl val="0"/>
      </c:catAx>
      <c:valAx>
        <c:axId val="137705728"/>
        <c:scaling>
          <c:orientation val="minMax"/>
        </c:scaling>
        <c:delete val="0"/>
        <c:axPos val="l"/>
        <c:majorGridlines/>
        <c:numFmt formatCode="_(* #,##0_);_(* \(#,##0\);_(* &quot;-&quot;??_);_(@_)" sourceLinked="1"/>
        <c:majorTickMark val="out"/>
        <c:minorTickMark val="none"/>
        <c:tickLblPos val="nextTo"/>
        <c:crossAx val="137704192"/>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8.3016699260337293E-2"/>
          <c:y val="0.1883478576998889"/>
          <c:w val="0.72038587913428254"/>
          <c:h val="0.68163823331550821"/>
        </c:manualLayout>
      </c:layout>
      <c:bar3DChart>
        <c:barDir val="col"/>
        <c:grouping val="clustered"/>
        <c:varyColors val="0"/>
        <c:ser>
          <c:idx val="0"/>
          <c:order val="0"/>
          <c:tx>
            <c:strRef>
              <c:f>'General (T+G)'!$B$15</c:f>
              <c:strCache>
                <c:ptCount val="1"/>
                <c:pt idx="0">
                  <c:v>Change in Use</c:v>
                </c:pt>
              </c:strCache>
            </c:strRef>
          </c:tx>
          <c:invertIfNegative val="0"/>
          <c:cat>
            <c:strRef>
              <c:f>'General (T+G)'!$A$16:$A$19</c:f>
              <c:strCache>
                <c:ptCount val="3"/>
                <c:pt idx="0">
                  <c:v>Quality Improvement </c:v>
                </c:pt>
                <c:pt idx="2">
                  <c:v>Pharmacy Dispensing</c:v>
                </c:pt>
              </c:strCache>
            </c:strRef>
          </c:cat>
          <c:val>
            <c:numRef>
              <c:f>'General (T+G)'!$B$16:$B$19</c:f>
              <c:numCache>
                <c:formatCode>"$"#,##0</c:formatCode>
                <c:ptCount val="4"/>
                <c:pt idx="0" formatCode="General">
                  <c:v>1</c:v>
                </c:pt>
                <c:pt idx="1">
                  <c:v>34811992</c:v>
                </c:pt>
              </c:numCache>
            </c:numRef>
          </c:val>
        </c:ser>
        <c:ser>
          <c:idx val="1"/>
          <c:order val="1"/>
          <c:tx>
            <c:strRef>
              <c:f>'General (T+G)'!$C$15</c:f>
              <c:strCache>
                <c:ptCount val="1"/>
                <c:pt idx="0">
                  <c:v>Change in Health</c:v>
                </c:pt>
              </c:strCache>
            </c:strRef>
          </c:tx>
          <c:invertIfNegative val="0"/>
          <c:cat>
            <c:strRef>
              <c:f>'General (T+G)'!$A$16:$A$19</c:f>
              <c:strCache>
                <c:ptCount val="3"/>
                <c:pt idx="0">
                  <c:v>Quality Improvement </c:v>
                </c:pt>
                <c:pt idx="2">
                  <c:v>Pharmacy Dispensing</c:v>
                </c:pt>
              </c:strCache>
            </c:strRef>
          </c:cat>
          <c:val>
            <c:numRef>
              <c:f>'General (T+G)'!$C$16:$C$19</c:f>
              <c:numCache>
                <c:formatCode>"$"#,##0</c:formatCode>
                <c:ptCount val="4"/>
                <c:pt idx="0" formatCode="General">
                  <c:v>1</c:v>
                </c:pt>
                <c:pt idx="1">
                  <c:v>11293841.93</c:v>
                </c:pt>
              </c:numCache>
            </c:numRef>
          </c:val>
        </c:ser>
        <c:ser>
          <c:idx val="2"/>
          <c:order val="2"/>
          <c:tx>
            <c:strRef>
              <c:f>'General (T+G)'!$D$15</c:f>
              <c:strCache>
                <c:ptCount val="1"/>
                <c:pt idx="0">
                  <c:v>Change in Satisfaction </c:v>
                </c:pt>
              </c:strCache>
            </c:strRef>
          </c:tx>
          <c:invertIfNegative val="0"/>
          <c:cat>
            <c:strRef>
              <c:f>'General (T+G)'!$A$16:$A$19</c:f>
              <c:strCache>
                <c:ptCount val="3"/>
                <c:pt idx="0">
                  <c:v>Quality Improvement </c:v>
                </c:pt>
                <c:pt idx="2">
                  <c:v>Pharmacy Dispensing</c:v>
                </c:pt>
              </c:strCache>
            </c:strRef>
          </c:cat>
          <c:val>
            <c:numRef>
              <c:f>'General (T+G)'!$D$16:$D$19</c:f>
              <c:numCache>
                <c:formatCode>"$"#,##0</c:formatCode>
                <c:ptCount val="4"/>
                <c:pt idx="0" formatCode="General">
                  <c:v>2</c:v>
                </c:pt>
                <c:pt idx="1">
                  <c:v>4543175.9186581988</c:v>
                </c:pt>
              </c:numCache>
            </c:numRef>
          </c:val>
        </c:ser>
        <c:dLbls>
          <c:showLegendKey val="0"/>
          <c:showVal val="0"/>
          <c:showCatName val="0"/>
          <c:showSerName val="0"/>
          <c:showPercent val="0"/>
          <c:showBubbleSize val="0"/>
        </c:dLbls>
        <c:gapWidth val="150"/>
        <c:shape val="cylinder"/>
        <c:axId val="137732480"/>
        <c:axId val="137734016"/>
        <c:axId val="0"/>
      </c:bar3DChart>
      <c:catAx>
        <c:axId val="137732480"/>
        <c:scaling>
          <c:orientation val="minMax"/>
        </c:scaling>
        <c:delete val="0"/>
        <c:axPos val="b"/>
        <c:numFmt formatCode="General" sourceLinked="0"/>
        <c:majorTickMark val="out"/>
        <c:minorTickMark val="none"/>
        <c:tickLblPos val="nextTo"/>
        <c:crossAx val="137734016"/>
        <c:crosses val="autoZero"/>
        <c:auto val="1"/>
        <c:lblAlgn val="ctr"/>
        <c:lblOffset val="100"/>
        <c:noMultiLvlLbl val="0"/>
      </c:catAx>
      <c:valAx>
        <c:axId val="137734016"/>
        <c:scaling>
          <c:orientation val="minMax"/>
        </c:scaling>
        <c:delete val="0"/>
        <c:axPos val="l"/>
        <c:majorGridlines/>
        <c:numFmt formatCode="General" sourceLinked="1"/>
        <c:majorTickMark val="out"/>
        <c:minorTickMark val="none"/>
        <c:tickLblPos val="nextTo"/>
        <c:crossAx val="137732480"/>
        <c:crosses val="autoZero"/>
        <c:crossBetween val="between"/>
      </c:valAx>
    </c:plotArea>
    <c:legend>
      <c:legendPos val="r"/>
      <c:layout>
        <c:manualLayout>
          <c:xMode val="edge"/>
          <c:yMode val="edge"/>
          <c:x val="0.81390421772532595"/>
          <c:y val="0.3296311684602008"/>
          <c:w val="0.17709437713406845"/>
          <c:h val="0.30466661040317389"/>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kern="1200" spc="0" baseline="0">
                <a:solidFill>
                  <a:srgbClr val="595959"/>
                </a:solidFill>
                <a:effectLst/>
              </a:rPr>
              <a:t>Project Category vs. DY3-4 QPI Encounters MLIU Target and Achieved Goal</a:t>
            </a:r>
            <a:endParaRPr lang="en-US">
              <a:effectLst/>
            </a:endParaRPr>
          </a:p>
        </c:rich>
      </c:tx>
      <c:overlay val="0"/>
      <c:spPr>
        <a:noFill/>
        <a:ln>
          <a:noFill/>
        </a:ln>
        <a:effectLst/>
      </c:spPr>
    </c:title>
    <c:autoTitleDeleted val="0"/>
    <c:plotArea>
      <c:layout/>
      <c:barChart>
        <c:barDir val="col"/>
        <c:grouping val="clustered"/>
        <c:varyColors val="0"/>
        <c:ser>
          <c:idx val="0"/>
          <c:order val="0"/>
          <c:tx>
            <c:strRef>
              <c:f>'QPI Analysis'!$F$38</c:f>
              <c:strCache>
                <c:ptCount val="1"/>
                <c:pt idx="0">
                  <c:v>DY3 and DY4 MLIU QPI Goal Achieved for Encounters</c:v>
                </c:pt>
              </c:strCache>
            </c:strRef>
          </c:tx>
          <c:spPr>
            <a:solidFill>
              <a:schemeClr val="accent1"/>
            </a:solidFill>
            <a:ln>
              <a:noFill/>
            </a:ln>
            <a:effectLst/>
          </c:spPr>
          <c:invertIfNegative val="0"/>
          <c:cat>
            <c:strRef>
              <c:f>'QPI Analysis'!$A$39:$A$46</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Analysis'!$F$39:$F$46</c:f>
              <c:numCache>
                <c:formatCode>_(* #,##0_);_(* \(#,##0\);_(* "-"??_);_(@_)</c:formatCode>
                <c:ptCount val="8"/>
                <c:pt idx="0">
                  <c:v>28880</c:v>
                </c:pt>
                <c:pt idx="1">
                  <c:v>216658</c:v>
                </c:pt>
                <c:pt idx="2">
                  <c:v>205504</c:v>
                </c:pt>
                <c:pt idx="3">
                  <c:v>0</c:v>
                </c:pt>
                <c:pt idx="4">
                  <c:v>0</c:v>
                </c:pt>
                <c:pt idx="5">
                  <c:v>17953</c:v>
                </c:pt>
                <c:pt idx="6">
                  <c:v>600</c:v>
                </c:pt>
                <c:pt idx="7">
                  <c:v>0</c:v>
                </c:pt>
              </c:numCache>
            </c:numRef>
          </c:val>
        </c:ser>
        <c:ser>
          <c:idx val="1"/>
          <c:order val="1"/>
          <c:tx>
            <c:strRef>
              <c:f>'QPI Analysis'!$G$38</c:f>
              <c:strCache>
                <c:ptCount val="1"/>
                <c:pt idx="0">
                  <c:v>% DY3 and DY4 MLIU QPI Target for Encounters</c:v>
                </c:pt>
              </c:strCache>
            </c:strRef>
          </c:tx>
          <c:spPr>
            <a:solidFill>
              <a:schemeClr val="accent2"/>
            </a:solidFill>
            <a:ln>
              <a:noFill/>
            </a:ln>
            <a:effectLst/>
          </c:spPr>
          <c:invertIfNegative val="0"/>
          <c:cat>
            <c:strRef>
              <c:f>'QPI Analysis'!$A$39:$A$46</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Analysis'!$G$39:$G$46</c:f>
              <c:numCache>
                <c:formatCode>_(* #,##0.0_);_(* \(#,##0.0\);_(* "-"??_);_(@_)</c:formatCode>
                <c:ptCount val="8"/>
                <c:pt idx="0">
                  <c:v>85.362969969259865</c:v>
                </c:pt>
                <c:pt idx="1">
                  <c:v>106.18720409343541</c:v>
                </c:pt>
                <c:pt idx="2">
                  <c:v>108.47228600233304</c:v>
                </c:pt>
                <c:pt idx="3" formatCode="_(* #,##0_);_(* \(#,##0\);_(* &quot;-&quot;??_);_(@_)">
                  <c:v>0</c:v>
                </c:pt>
                <c:pt idx="4" formatCode="_(* #,##0_);_(* \(#,##0\);_(* &quot;-&quot;??_);_(@_)">
                  <c:v>0</c:v>
                </c:pt>
                <c:pt idx="5">
                  <c:v>191.41699541528948</c:v>
                </c:pt>
                <c:pt idx="6" formatCode="_(* #,##0_);_(* \(#,##0\);_(* &quot;-&quot;??_);_(@_)">
                  <c:v>100</c:v>
                </c:pt>
                <c:pt idx="7" formatCode="_(* #,##0_);_(* \(#,##0\);_(* &quot;-&quot;??_);_(@_)">
                  <c:v>0</c:v>
                </c:pt>
              </c:numCache>
            </c:numRef>
          </c:val>
        </c:ser>
        <c:ser>
          <c:idx val="2"/>
          <c:order val="2"/>
          <c:tx>
            <c:strRef>
              <c:f>'QPI Analysis'!$H$38</c:f>
              <c:strCache>
                <c:ptCount val="1"/>
              </c:strCache>
            </c:strRef>
          </c:tx>
          <c:spPr>
            <a:solidFill>
              <a:schemeClr val="accent3"/>
            </a:solidFill>
            <a:ln>
              <a:noFill/>
            </a:ln>
            <a:effectLst/>
          </c:spPr>
          <c:invertIfNegative val="0"/>
          <c:cat>
            <c:strRef>
              <c:f>'QPI Analysis'!$A$39:$A$46</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Analysis'!$H$39:$H$46</c:f>
              <c:numCache>
                <c:formatCode>_(* #,##0_);_(* \(#,##0\);_(* "-"??_);_(@_)</c:formatCode>
                <c:ptCount val="8"/>
              </c:numCache>
            </c:numRef>
          </c:val>
        </c:ser>
        <c:ser>
          <c:idx val="3"/>
          <c:order val="3"/>
          <c:tx>
            <c:strRef>
              <c:f>'QPI Analysis'!$I$38</c:f>
              <c:strCache>
                <c:ptCount val="1"/>
              </c:strCache>
            </c:strRef>
          </c:tx>
          <c:spPr>
            <a:solidFill>
              <a:schemeClr val="accent4"/>
            </a:solidFill>
            <a:ln>
              <a:noFill/>
            </a:ln>
            <a:effectLst/>
          </c:spPr>
          <c:invertIfNegative val="0"/>
          <c:cat>
            <c:strRef>
              <c:f>'QPI Analysis'!$A$39:$A$46</c:f>
              <c:strCache>
                <c:ptCount val="8"/>
                <c:pt idx="0">
                  <c:v>Behavioral Health</c:v>
                </c:pt>
                <c:pt idx="1">
                  <c:v>Primary Care</c:v>
                </c:pt>
                <c:pt idx="2">
                  <c:v>Specialty Care</c:v>
                </c:pt>
                <c:pt idx="3">
                  <c:v>Chronic Care</c:v>
                </c:pt>
                <c:pt idx="4">
                  <c:v>Emergency Care</c:v>
                </c:pt>
                <c:pt idx="5">
                  <c:v>Navigation/Case Mgmt</c:v>
                </c:pt>
                <c:pt idx="6">
                  <c:v>Prevention and Wellness</c:v>
                </c:pt>
                <c:pt idx="7">
                  <c:v>General</c:v>
                </c:pt>
              </c:strCache>
            </c:strRef>
          </c:cat>
          <c:val>
            <c:numRef>
              <c:f>'QPI Analysis'!$I$39:$I$46</c:f>
              <c:numCache>
                <c:formatCode>_(* #,##0_);_(* \(#,##0\);_(* "-"??_);_(@_)</c:formatCode>
                <c:ptCount val="8"/>
              </c:numCache>
            </c:numRef>
          </c:val>
        </c:ser>
        <c:dLbls>
          <c:showLegendKey val="0"/>
          <c:showVal val="0"/>
          <c:showCatName val="0"/>
          <c:showSerName val="0"/>
          <c:showPercent val="0"/>
          <c:showBubbleSize val="0"/>
        </c:dLbls>
        <c:gapWidth val="219"/>
        <c:overlap val="-27"/>
        <c:axId val="120137984"/>
        <c:axId val="120156544"/>
      </c:barChart>
      <c:catAx>
        <c:axId val="1201379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Project Category</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56544"/>
        <c:crosses val="autoZero"/>
        <c:auto val="1"/>
        <c:lblAlgn val="ctr"/>
        <c:lblOffset val="100"/>
        <c:noMultiLvlLbl val="0"/>
      </c:catAx>
      <c:valAx>
        <c:axId val="120156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baseline="0">
                    <a:effectLst/>
                  </a:rPr>
                  <a:t>DY3-4 QPI Encounters MLIU Target and Achieved Goal</a:t>
                </a:r>
                <a:endParaRPr lang="en-US"/>
              </a:p>
            </c:rich>
          </c:tx>
          <c:overlay val="0"/>
          <c:spPr>
            <a:noFill/>
            <a:ln>
              <a:noFill/>
            </a:ln>
            <a:effectLst/>
          </c:sp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37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1563591633734888"/>
          <c:y val="0.16924757672617671"/>
          <c:w val="0.74408935062697823"/>
          <c:h val="0.49380463085678755"/>
        </c:manualLayout>
      </c:layout>
      <c:bar3DChart>
        <c:barDir val="col"/>
        <c:grouping val="clustered"/>
        <c:varyColors val="0"/>
        <c:ser>
          <c:idx val="0"/>
          <c:order val="0"/>
          <c:tx>
            <c:strRef>
              <c:f>'BH (T+G)'!$B$1</c:f>
              <c:strCache>
                <c:ptCount val="1"/>
                <c:pt idx="0">
                  <c:v>Total Projects</c:v>
                </c:pt>
              </c:strCache>
            </c:strRef>
          </c:tx>
          <c:invertIfNegative val="0"/>
          <c:cat>
            <c:strRef>
              <c:f>'BH (T+G)'!$A$2:$A$8</c:f>
              <c:strCache>
                <c:ptCount val="7"/>
                <c:pt idx="0">
                  <c:v>Case Management</c:v>
                </c:pt>
                <c:pt idx="1">
                  <c:v>Crisis Stabilization </c:v>
                </c:pt>
                <c:pt idx="2">
                  <c:v>Expand Behavioral Health</c:v>
                </c:pt>
                <c:pt idx="3">
                  <c:v>Health Education </c:v>
                </c:pt>
                <c:pt idx="4">
                  <c:v>Integrated Care</c:v>
                </c:pt>
                <c:pt idx="5">
                  <c:v>Navigation/Case Mgmt</c:v>
                </c:pt>
                <c:pt idx="6">
                  <c:v>Registry/Data Sharing</c:v>
                </c:pt>
              </c:strCache>
            </c:strRef>
          </c:cat>
          <c:val>
            <c:numRef>
              <c:f>'BH (T+G)'!$B$2:$B$8</c:f>
              <c:numCache>
                <c:formatCode>General</c:formatCode>
                <c:ptCount val="7"/>
                <c:pt idx="0">
                  <c:v>1</c:v>
                </c:pt>
                <c:pt idx="1">
                  <c:v>15</c:v>
                </c:pt>
                <c:pt idx="2">
                  <c:v>17</c:v>
                </c:pt>
                <c:pt idx="3">
                  <c:v>1</c:v>
                </c:pt>
                <c:pt idx="4">
                  <c:v>14</c:v>
                </c:pt>
                <c:pt idx="5">
                  <c:v>8</c:v>
                </c:pt>
                <c:pt idx="6">
                  <c:v>1</c:v>
                </c:pt>
              </c:numCache>
            </c:numRef>
          </c:val>
        </c:ser>
        <c:ser>
          <c:idx val="1"/>
          <c:order val="1"/>
          <c:tx>
            <c:strRef>
              <c:f>'BH (T+G)'!$C$1</c:f>
              <c:strCache>
                <c:ptCount val="1"/>
                <c:pt idx="0">
                  <c:v>Total Providers</c:v>
                </c:pt>
              </c:strCache>
            </c:strRef>
          </c:tx>
          <c:invertIfNegative val="0"/>
          <c:cat>
            <c:strRef>
              <c:f>'BH (T+G)'!$A$2:$A$8</c:f>
              <c:strCache>
                <c:ptCount val="7"/>
                <c:pt idx="0">
                  <c:v>Case Management</c:v>
                </c:pt>
                <c:pt idx="1">
                  <c:v>Crisis Stabilization </c:v>
                </c:pt>
                <c:pt idx="2">
                  <c:v>Expand Behavioral Health</c:v>
                </c:pt>
                <c:pt idx="3">
                  <c:v>Health Education </c:v>
                </c:pt>
                <c:pt idx="4">
                  <c:v>Integrated Care</c:v>
                </c:pt>
                <c:pt idx="5">
                  <c:v>Navigation/Case Mgmt</c:v>
                </c:pt>
                <c:pt idx="6">
                  <c:v>Registry/Data Sharing</c:v>
                </c:pt>
              </c:strCache>
            </c:strRef>
          </c:cat>
          <c:val>
            <c:numRef>
              <c:f>'BH (T+G)'!$C$2:$C$8</c:f>
              <c:numCache>
                <c:formatCode>General</c:formatCode>
                <c:ptCount val="7"/>
                <c:pt idx="0">
                  <c:v>1</c:v>
                </c:pt>
                <c:pt idx="1">
                  <c:v>6</c:v>
                </c:pt>
                <c:pt idx="2">
                  <c:v>6</c:v>
                </c:pt>
                <c:pt idx="3">
                  <c:v>1</c:v>
                </c:pt>
                <c:pt idx="4">
                  <c:v>10</c:v>
                </c:pt>
                <c:pt idx="5">
                  <c:v>7</c:v>
                </c:pt>
                <c:pt idx="6">
                  <c:v>1</c:v>
                </c:pt>
              </c:numCache>
            </c:numRef>
          </c:val>
        </c:ser>
        <c:dLbls>
          <c:showLegendKey val="0"/>
          <c:showVal val="0"/>
          <c:showCatName val="0"/>
          <c:showSerName val="0"/>
          <c:showPercent val="0"/>
          <c:showBubbleSize val="0"/>
        </c:dLbls>
        <c:gapWidth val="150"/>
        <c:shape val="cylinder"/>
        <c:axId val="121063680"/>
        <c:axId val="121069568"/>
        <c:axId val="0"/>
      </c:bar3DChart>
      <c:catAx>
        <c:axId val="121063680"/>
        <c:scaling>
          <c:orientation val="minMax"/>
        </c:scaling>
        <c:delete val="0"/>
        <c:axPos val="b"/>
        <c:numFmt formatCode="General" sourceLinked="0"/>
        <c:majorTickMark val="out"/>
        <c:minorTickMark val="none"/>
        <c:tickLblPos val="nextTo"/>
        <c:crossAx val="121069568"/>
        <c:crosses val="autoZero"/>
        <c:auto val="1"/>
        <c:lblAlgn val="ctr"/>
        <c:lblOffset val="100"/>
        <c:noMultiLvlLbl val="0"/>
      </c:catAx>
      <c:valAx>
        <c:axId val="121069568"/>
        <c:scaling>
          <c:orientation val="minMax"/>
        </c:scaling>
        <c:delete val="0"/>
        <c:axPos val="l"/>
        <c:majorGridlines/>
        <c:numFmt formatCode="General" sourceLinked="1"/>
        <c:majorTickMark val="out"/>
        <c:minorTickMark val="none"/>
        <c:tickLblPos val="nextTo"/>
        <c:crossAx val="121063680"/>
        <c:crosses val="autoZero"/>
        <c:crossBetween val="between"/>
      </c:valAx>
    </c:plotArea>
    <c:legend>
      <c:legendPos val="r"/>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20399048008752704"/>
          <c:y val="0.11317586472475748"/>
          <c:w val="0.64182383882638938"/>
          <c:h val="0.53995440711356624"/>
        </c:manualLayout>
      </c:layout>
      <c:bar3DChart>
        <c:barDir val="col"/>
        <c:grouping val="clustered"/>
        <c:varyColors val="0"/>
        <c:ser>
          <c:idx val="0"/>
          <c:order val="0"/>
          <c:tx>
            <c:strRef>
              <c:f>'BH (T+G)'!$D$1</c:f>
              <c:strCache>
                <c:ptCount val="1"/>
                <c:pt idx="0">
                  <c:v>Target Incentive Payment Amount DY 2-5 for Cat 1, 2, 3 </c:v>
                </c:pt>
              </c:strCache>
            </c:strRef>
          </c:tx>
          <c:invertIfNegative val="0"/>
          <c:cat>
            <c:strRef>
              <c:f>'BH (T+G)'!$A$2:$A$8</c:f>
              <c:strCache>
                <c:ptCount val="7"/>
                <c:pt idx="0">
                  <c:v>Case Management</c:v>
                </c:pt>
                <c:pt idx="1">
                  <c:v>Crisis Stabilization </c:v>
                </c:pt>
                <c:pt idx="2">
                  <c:v>Expand Behavioral Health</c:v>
                </c:pt>
                <c:pt idx="3">
                  <c:v>Health Education </c:v>
                </c:pt>
                <c:pt idx="4">
                  <c:v>Integrated Care</c:v>
                </c:pt>
                <c:pt idx="5">
                  <c:v>Navigation/Case Mgmt</c:v>
                </c:pt>
                <c:pt idx="6">
                  <c:v>Registry/Data Sharing</c:v>
                </c:pt>
              </c:strCache>
            </c:strRef>
          </c:cat>
          <c:val>
            <c:numRef>
              <c:f>'BH (T+G)'!$D$2:$D$8</c:f>
              <c:numCache>
                <c:formatCode>_("$"* #,##0_);_("$"* \(#,##0\);_("$"* "-"??_);_(@_)</c:formatCode>
                <c:ptCount val="7"/>
                <c:pt idx="0">
                  <c:v>515685</c:v>
                </c:pt>
                <c:pt idx="1">
                  <c:v>168825683.83000001</c:v>
                </c:pt>
                <c:pt idx="2">
                  <c:v>167151818.28</c:v>
                </c:pt>
                <c:pt idx="3">
                  <c:v>230392</c:v>
                </c:pt>
                <c:pt idx="4">
                  <c:v>171942521</c:v>
                </c:pt>
                <c:pt idx="5">
                  <c:v>69785362.480000004</c:v>
                </c:pt>
                <c:pt idx="6">
                  <c:v>4652262</c:v>
                </c:pt>
              </c:numCache>
            </c:numRef>
          </c:val>
        </c:ser>
        <c:dLbls>
          <c:showLegendKey val="0"/>
          <c:showVal val="0"/>
          <c:showCatName val="0"/>
          <c:showSerName val="0"/>
          <c:showPercent val="0"/>
          <c:showBubbleSize val="0"/>
        </c:dLbls>
        <c:gapWidth val="150"/>
        <c:shape val="cylinder"/>
        <c:axId val="121090432"/>
        <c:axId val="121091968"/>
        <c:axId val="0"/>
      </c:bar3DChart>
      <c:catAx>
        <c:axId val="121090432"/>
        <c:scaling>
          <c:orientation val="minMax"/>
        </c:scaling>
        <c:delete val="0"/>
        <c:axPos val="b"/>
        <c:numFmt formatCode="General" sourceLinked="0"/>
        <c:majorTickMark val="out"/>
        <c:minorTickMark val="none"/>
        <c:tickLblPos val="nextTo"/>
        <c:crossAx val="121091968"/>
        <c:crosses val="autoZero"/>
        <c:auto val="1"/>
        <c:lblAlgn val="ctr"/>
        <c:lblOffset val="100"/>
        <c:noMultiLvlLbl val="0"/>
      </c:catAx>
      <c:valAx>
        <c:axId val="121091968"/>
        <c:scaling>
          <c:orientation val="minMax"/>
        </c:scaling>
        <c:delete val="0"/>
        <c:axPos val="l"/>
        <c:majorGridlines/>
        <c:numFmt formatCode="_(&quot;$&quot;* #,##0_);_(&quot;$&quot;* \(#,##0\);_(&quot;$&quot;* &quot;-&quot;??_);_(@_)" sourceLinked="1"/>
        <c:majorTickMark val="out"/>
        <c:minorTickMark val="none"/>
        <c:tickLblPos val="nextTo"/>
        <c:crossAx val="121090432"/>
        <c:crosses val="autoZero"/>
        <c:crossBetween val="between"/>
      </c:valAx>
    </c:plotArea>
    <c:legend>
      <c:legendPos val="r"/>
      <c:layout>
        <c:manualLayout>
          <c:xMode val="edge"/>
          <c:yMode val="edge"/>
          <c:x val="0.84071896108997124"/>
          <c:y val="0.34353633487569241"/>
          <c:w val="0.14877200879834754"/>
          <c:h val="0.22090751286166949"/>
        </c:manualLayout>
      </c:layout>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5342792844635691"/>
          <c:y val="0.17954001837299846"/>
          <c:w val="0.66941696183439459"/>
          <c:h val="0.44159601913627883"/>
        </c:manualLayout>
      </c:layout>
      <c:bar3DChart>
        <c:barDir val="col"/>
        <c:grouping val="clustered"/>
        <c:varyColors val="0"/>
        <c:ser>
          <c:idx val="0"/>
          <c:order val="0"/>
          <c:tx>
            <c:strRef>
              <c:f>'BH (T+G)'!$E$1</c:f>
              <c:strCache>
                <c:ptCount val="1"/>
                <c:pt idx="0">
                  <c:v>Total Individuals served during DY3-5</c:v>
                </c:pt>
              </c:strCache>
            </c:strRef>
          </c:tx>
          <c:invertIfNegative val="0"/>
          <c:cat>
            <c:strRef>
              <c:f>'BH (T+G)'!$A$2:$A$8</c:f>
              <c:strCache>
                <c:ptCount val="7"/>
                <c:pt idx="0">
                  <c:v>Case Management</c:v>
                </c:pt>
                <c:pt idx="1">
                  <c:v>Crisis Stabilization </c:v>
                </c:pt>
                <c:pt idx="2">
                  <c:v>Expand Behavioral Health</c:v>
                </c:pt>
                <c:pt idx="3">
                  <c:v>Health Education </c:v>
                </c:pt>
                <c:pt idx="4">
                  <c:v>Integrated Care</c:v>
                </c:pt>
                <c:pt idx="5">
                  <c:v>Navigation/Case Mgmt</c:v>
                </c:pt>
                <c:pt idx="6">
                  <c:v>Registry/Data Sharing</c:v>
                </c:pt>
              </c:strCache>
            </c:strRef>
          </c:cat>
          <c:val>
            <c:numRef>
              <c:f>'BH (T+G)'!$E$2:$E$8</c:f>
              <c:numCache>
                <c:formatCode>0</c:formatCode>
                <c:ptCount val="7"/>
                <c:pt idx="0">
                  <c:v>0</c:v>
                </c:pt>
                <c:pt idx="1">
                  <c:v>38314</c:v>
                </c:pt>
                <c:pt idx="2">
                  <c:v>10450</c:v>
                </c:pt>
                <c:pt idx="3">
                  <c:v>22</c:v>
                </c:pt>
                <c:pt idx="4">
                  <c:v>36480</c:v>
                </c:pt>
                <c:pt idx="5">
                  <c:v>6684</c:v>
                </c:pt>
                <c:pt idx="6">
                  <c:v>3750</c:v>
                </c:pt>
              </c:numCache>
            </c:numRef>
          </c:val>
        </c:ser>
        <c:ser>
          <c:idx val="1"/>
          <c:order val="1"/>
          <c:tx>
            <c:strRef>
              <c:f>'BH (T+G)'!$F$1</c:f>
              <c:strCache>
                <c:ptCount val="1"/>
                <c:pt idx="0">
                  <c:v>Total Encounters provided during DY3-5</c:v>
                </c:pt>
              </c:strCache>
            </c:strRef>
          </c:tx>
          <c:invertIfNegative val="0"/>
          <c:cat>
            <c:strRef>
              <c:f>'BH (T+G)'!$A$2:$A$8</c:f>
              <c:strCache>
                <c:ptCount val="7"/>
                <c:pt idx="0">
                  <c:v>Case Management</c:v>
                </c:pt>
                <c:pt idx="1">
                  <c:v>Crisis Stabilization </c:v>
                </c:pt>
                <c:pt idx="2">
                  <c:v>Expand Behavioral Health</c:v>
                </c:pt>
                <c:pt idx="3">
                  <c:v>Health Education </c:v>
                </c:pt>
                <c:pt idx="4">
                  <c:v>Integrated Care</c:v>
                </c:pt>
                <c:pt idx="5">
                  <c:v>Navigation/Case Mgmt</c:v>
                </c:pt>
                <c:pt idx="6">
                  <c:v>Registry/Data Sharing</c:v>
                </c:pt>
              </c:strCache>
            </c:strRef>
          </c:cat>
          <c:val>
            <c:numRef>
              <c:f>'BH (T+G)'!$F$2:$F$8</c:f>
              <c:numCache>
                <c:formatCode>0</c:formatCode>
                <c:ptCount val="7"/>
                <c:pt idx="0">
                  <c:v>3663</c:v>
                </c:pt>
                <c:pt idx="1">
                  <c:v>8259</c:v>
                </c:pt>
                <c:pt idx="2">
                  <c:v>36850</c:v>
                </c:pt>
                <c:pt idx="3">
                  <c:v>0</c:v>
                </c:pt>
                <c:pt idx="4">
                  <c:v>4224</c:v>
                </c:pt>
                <c:pt idx="5">
                  <c:v>18768</c:v>
                </c:pt>
                <c:pt idx="6">
                  <c:v>0</c:v>
                </c:pt>
              </c:numCache>
            </c:numRef>
          </c:val>
        </c:ser>
        <c:dLbls>
          <c:showLegendKey val="0"/>
          <c:showVal val="0"/>
          <c:showCatName val="0"/>
          <c:showSerName val="0"/>
          <c:showPercent val="0"/>
          <c:showBubbleSize val="0"/>
        </c:dLbls>
        <c:gapWidth val="150"/>
        <c:shape val="cylinder"/>
        <c:axId val="121109504"/>
        <c:axId val="121111296"/>
        <c:axId val="0"/>
      </c:bar3DChart>
      <c:catAx>
        <c:axId val="121109504"/>
        <c:scaling>
          <c:orientation val="minMax"/>
        </c:scaling>
        <c:delete val="0"/>
        <c:axPos val="b"/>
        <c:numFmt formatCode="General" sourceLinked="0"/>
        <c:majorTickMark val="out"/>
        <c:minorTickMark val="none"/>
        <c:tickLblPos val="nextTo"/>
        <c:crossAx val="121111296"/>
        <c:crosses val="autoZero"/>
        <c:auto val="1"/>
        <c:lblAlgn val="ctr"/>
        <c:lblOffset val="100"/>
        <c:noMultiLvlLbl val="0"/>
      </c:catAx>
      <c:valAx>
        <c:axId val="121111296"/>
        <c:scaling>
          <c:orientation val="minMax"/>
        </c:scaling>
        <c:delete val="0"/>
        <c:axPos val="l"/>
        <c:majorGridlines/>
        <c:numFmt formatCode="0" sourceLinked="1"/>
        <c:majorTickMark val="out"/>
        <c:minorTickMark val="none"/>
        <c:tickLblPos val="nextTo"/>
        <c:crossAx val="121109504"/>
        <c:crosses val="autoZero"/>
        <c:crossBetween val="between"/>
      </c:valAx>
    </c:plotArea>
    <c:legend>
      <c:legendPos val="r"/>
      <c:layout>
        <c:manualLayout>
          <c:xMode val="edge"/>
          <c:yMode val="edge"/>
          <c:x val="0.80692286819177972"/>
          <c:y val="0.37515164770163101"/>
          <c:w val="0.18162811613809376"/>
          <c:h val="0.37016950410751431"/>
        </c:manualLayout>
      </c:layout>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4513488636897093"/>
          <c:y val="0.15141487314085741"/>
          <c:w val="0.70275175061841455"/>
          <c:h val="0.73819515893846765"/>
        </c:manualLayout>
      </c:layout>
      <c:bar3DChart>
        <c:barDir val="col"/>
        <c:grouping val="clustered"/>
        <c:varyColors val="0"/>
        <c:ser>
          <c:idx val="0"/>
          <c:order val="0"/>
          <c:tx>
            <c:strRef>
              <c:f>'BH (T+G)'!$A$13</c:f>
              <c:strCache>
                <c:ptCount val="1"/>
                <c:pt idx="0">
                  <c:v>Individuals</c:v>
                </c:pt>
              </c:strCache>
            </c:strRef>
          </c:tx>
          <c:invertIfNegative val="0"/>
          <c:cat>
            <c:strRef>
              <c:f>'BH (T+G)'!$B$12:$E$12</c:f>
              <c:strCache>
                <c:ptCount val="4"/>
                <c:pt idx="0">
                  <c:v>
 QPI Target DY3</c:v>
                </c:pt>
                <c:pt idx="1">
                  <c:v>
 QPI Target DY4</c:v>
                </c:pt>
                <c:pt idx="2">
                  <c:v>
 QPI Target DY5</c:v>
                </c:pt>
                <c:pt idx="3">
                  <c:v>Cumulative Total</c:v>
                </c:pt>
              </c:strCache>
            </c:strRef>
          </c:cat>
          <c:val>
            <c:numRef>
              <c:f>'BH (T+G)'!$B$13:$E$13</c:f>
              <c:numCache>
                <c:formatCode>_(* #,##0_);_(* \(#,##0\);_(* "-"??_);_(@_)</c:formatCode>
                <c:ptCount val="4"/>
                <c:pt idx="0">
                  <c:v>25810</c:v>
                </c:pt>
                <c:pt idx="1">
                  <c:v>33154</c:v>
                </c:pt>
                <c:pt idx="2">
                  <c:v>36736</c:v>
                </c:pt>
                <c:pt idx="3">
                  <c:v>95700</c:v>
                </c:pt>
              </c:numCache>
            </c:numRef>
          </c:val>
        </c:ser>
        <c:ser>
          <c:idx val="1"/>
          <c:order val="1"/>
          <c:tx>
            <c:strRef>
              <c:f>'BH (T+G)'!$A$14</c:f>
              <c:strCache>
                <c:ptCount val="1"/>
                <c:pt idx="0">
                  <c:v>Encounters</c:v>
                </c:pt>
              </c:strCache>
            </c:strRef>
          </c:tx>
          <c:invertIfNegative val="0"/>
          <c:cat>
            <c:strRef>
              <c:f>'BH (T+G)'!$B$12:$E$12</c:f>
              <c:strCache>
                <c:ptCount val="4"/>
                <c:pt idx="0">
                  <c:v>
 QPI Target DY3</c:v>
                </c:pt>
                <c:pt idx="1">
                  <c:v>
 QPI Target DY4</c:v>
                </c:pt>
                <c:pt idx="2">
                  <c:v>
 QPI Target DY5</c:v>
                </c:pt>
                <c:pt idx="3">
                  <c:v>Cumulative Total</c:v>
                </c:pt>
              </c:strCache>
            </c:strRef>
          </c:cat>
          <c:val>
            <c:numRef>
              <c:f>'BH (T+G)'!$B$14:$E$14</c:f>
              <c:numCache>
                <c:formatCode>_(* #,##0_);_(* \(#,##0\);_(* "-"??_);_(@_)</c:formatCode>
                <c:ptCount val="4"/>
                <c:pt idx="0">
                  <c:v>18499</c:v>
                </c:pt>
                <c:pt idx="1">
                  <c:v>25143</c:v>
                </c:pt>
                <c:pt idx="2">
                  <c:v>28122</c:v>
                </c:pt>
                <c:pt idx="3">
                  <c:v>71764</c:v>
                </c:pt>
              </c:numCache>
            </c:numRef>
          </c:val>
        </c:ser>
        <c:dLbls>
          <c:showLegendKey val="0"/>
          <c:showVal val="0"/>
          <c:showCatName val="0"/>
          <c:showSerName val="0"/>
          <c:showPercent val="0"/>
          <c:showBubbleSize val="0"/>
        </c:dLbls>
        <c:gapWidth val="150"/>
        <c:shape val="cylinder"/>
        <c:axId val="121137024"/>
        <c:axId val="121138560"/>
        <c:axId val="0"/>
      </c:bar3DChart>
      <c:catAx>
        <c:axId val="121137024"/>
        <c:scaling>
          <c:orientation val="minMax"/>
        </c:scaling>
        <c:delete val="0"/>
        <c:axPos val="b"/>
        <c:numFmt formatCode="General" sourceLinked="0"/>
        <c:majorTickMark val="out"/>
        <c:minorTickMark val="none"/>
        <c:tickLblPos val="nextTo"/>
        <c:crossAx val="121138560"/>
        <c:crosses val="autoZero"/>
        <c:auto val="1"/>
        <c:lblAlgn val="ctr"/>
        <c:lblOffset val="100"/>
        <c:noMultiLvlLbl val="0"/>
      </c:catAx>
      <c:valAx>
        <c:axId val="121138560"/>
        <c:scaling>
          <c:orientation val="minMax"/>
        </c:scaling>
        <c:delete val="0"/>
        <c:axPos val="l"/>
        <c:majorGridlines/>
        <c:numFmt formatCode="_(* #,##0_);_(* \(#,##0\);_(* &quot;-&quot;??_);_(@_)" sourceLinked="1"/>
        <c:majorTickMark val="out"/>
        <c:minorTickMark val="none"/>
        <c:tickLblPos val="nextTo"/>
        <c:crossAx val="121137024"/>
        <c:crosses val="autoZero"/>
        <c:crossBetween val="between"/>
      </c:valAx>
    </c:plotArea>
    <c:legend>
      <c:legendPos val="r"/>
      <c:overlay val="0"/>
    </c:legend>
    <c:plotVisOnly val="1"/>
    <c:dispBlanksAs val="gap"/>
    <c:showDLblsOverMax val="0"/>
  </c:chart>
  <c:printSettings>
    <c:headerFooter/>
    <c:pageMargins b="0.75000000000000255" l="0.70000000000000062" r="0.70000000000000062" t="0.75000000000000255"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chart" Target="../charts/chart20.xml"/><Relationship Id="rId4"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chart" Target="../charts/chart25.xml"/><Relationship Id="rId4" Type="http://schemas.openxmlformats.org/officeDocument/2006/relationships/chart" Target="../charts/chart24.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5" Type="http://schemas.openxmlformats.org/officeDocument/2006/relationships/chart" Target="../charts/chart30.xml"/><Relationship Id="rId4"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chart" Target="../charts/chart35.xml"/><Relationship Id="rId4" Type="http://schemas.openxmlformats.org/officeDocument/2006/relationships/chart" Target="../charts/chart3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5" Type="http://schemas.openxmlformats.org/officeDocument/2006/relationships/chart" Target="../charts/chart40.xml"/><Relationship Id="rId4" Type="http://schemas.openxmlformats.org/officeDocument/2006/relationships/chart" Target="../charts/chart39.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5" Type="http://schemas.openxmlformats.org/officeDocument/2006/relationships/chart" Target="../charts/chart45.xml"/><Relationship Id="rId4" Type="http://schemas.openxmlformats.org/officeDocument/2006/relationships/chart" Target="../charts/chart4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10</xdr:col>
      <xdr:colOff>11907</xdr:colOff>
      <xdr:row>1</xdr:row>
      <xdr:rowOff>9524</xdr:rowOff>
    </xdr:from>
    <xdr:to>
      <xdr:col>16</xdr:col>
      <xdr:colOff>1174750</xdr:colOff>
      <xdr:row>16</xdr:row>
      <xdr:rowOff>7937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11907</xdr:colOff>
      <xdr:row>17</xdr:row>
      <xdr:rowOff>9524</xdr:rowOff>
    </xdr:from>
    <xdr:to>
      <xdr:col>17</xdr:col>
      <xdr:colOff>0</xdr:colOff>
      <xdr:row>34</xdr:row>
      <xdr:rowOff>174624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27780</xdr:colOff>
      <xdr:row>17</xdr:row>
      <xdr:rowOff>33338</xdr:rowOff>
    </xdr:from>
    <xdr:to>
      <xdr:col>28</xdr:col>
      <xdr:colOff>579437</xdr:colOff>
      <xdr:row>34</xdr:row>
      <xdr:rowOff>166687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3969</xdr:colOff>
      <xdr:row>36</xdr:row>
      <xdr:rowOff>176212</xdr:rowOff>
    </xdr:from>
    <xdr:to>
      <xdr:col>16</xdr:col>
      <xdr:colOff>1150938</xdr:colOff>
      <xdr:row>56</xdr:row>
      <xdr:rowOff>15875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11906</xdr:colOff>
      <xdr:row>37</xdr:row>
      <xdr:rowOff>1586</xdr:rowOff>
    </xdr:from>
    <xdr:to>
      <xdr:col>28</xdr:col>
      <xdr:colOff>7937</xdr:colOff>
      <xdr:row>55</xdr:row>
      <xdr:rowOff>166686</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559252</xdr:colOff>
      <xdr:row>0</xdr:row>
      <xdr:rowOff>141515</xdr:rowOff>
    </xdr:from>
    <xdr:to>
      <xdr:col>33</xdr:col>
      <xdr:colOff>68036</xdr:colOff>
      <xdr:row>11</xdr:row>
      <xdr:rowOff>103415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191859</xdr:colOff>
      <xdr:row>0</xdr:row>
      <xdr:rowOff>117022</xdr:rowOff>
    </xdr:from>
    <xdr:to>
      <xdr:col>19</xdr:col>
      <xdr:colOff>421820</xdr:colOff>
      <xdr:row>11</xdr:row>
      <xdr:rowOff>54429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190499</xdr:colOff>
      <xdr:row>14</xdr:row>
      <xdr:rowOff>40821</xdr:rowOff>
    </xdr:from>
    <xdr:to>
      <xdr:col>21</xdr:col>
      <xdr:colOff>585107</xdr:colOff>
      <xdr:row>30</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27214</xdr:colOff>
      <xdr:row>14</xdr:row>
      <xdr:rowOff>54427</xdr:rowOff>
    </xdr:from>
    <xdr:to>
      <xdr:col>35</xdr:col>
      <xdr:colOff>-1</xdr:colOff>
      <xdr:row>29</xdr:row>
      <xdr:rowOff>95249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217713</xdr:colOff>
      <xdr:row>32</xdr:row>
      <xdr:rowOff>0</xdr:rowOff>
    </xdr:from>
    <xdr:to>
      <xdr:col>28</xdr:col>
      <xdr:colOff>217714</xdr:colOff>
      <xdr:row>64</xdr:row>
      <xdr:rowOff>40821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476250</xdr:colOff>
      <xdr:row>32</xdr:row>
      <xdr:rowOff>108858</xdr:rowOff>
    </xdr:from>
    <xdr:to>
      <xdr:col>24</xdr:col>
      <xdr:colOff>299357</xdr:colOff>
      <xdr:row>36</xdr:row>
      <xdr:rowOff>13608</xdr:rowOff>
    </xdr:to>
    <xdr:sp macro="" textlink="">
      <xdr:nvSpPr>
        <xdr:cNvPr id="7" name="TextBox 6"/>
        <xdr:cNvSpPr txBox="1"/>
      </xdr:nvSpPr>
      <xdr:spPr>
        <a:xfrm>
          <a:off x="12439650" y="10783208"/>
          <a:ext cx="7138307" cy="641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a:t>Number of Projects and Total Incentive Payment Amounts by Project Type and Outcome</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0.21097</cdr:x>
      <cdr:y>0.03443</cdr:y>
    </cdr:from>
    <cdr:to>
      <cdr:x>0.79488</cdr:x>
      <cdr:y>0.15314</cdr:y>
    </cdr:to>
    <cdr:sp macro="" textlink="">
      <cdr:nvSpPr>
        <cdr:cNvPr id="2" name="TextBox 1"/>
        <cdr:cNvSpPr txBox="1"/>
      </cdr:nvSpPr>
      <cdr:spPr>
        <a:xfrm xmlns:a="http://schemas.openxmlformats.org/drawingml/2006/main">
          <a:off x="1469511" y="184774"/>
          <a:ext cx="4067237" cy="6370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Project Type vs. Total Projects</a:t>
          </a:r>
          <a:r>
            <a:rPr lang="en-US" sz="1800" b="1" baseline="0"/>
            <a:t> and Total Providers</a:t>
          </a:r>
          <a:endParaRPr lang="en-US" sz="1800" b="1"/>
        </a:p>
      </cdr:txBody>
    </cdr:sp>
  </cdr:relSizeAnchor>
</c:userShapes>
</file>

<file path=xl/drawings/drawing12.xml><?xml version="1.0" encoding="utf-8"?>
<c:userShapes xmlns:c="http://schemas.openxmlformats.org/drawingml/2006/chart">
  <cdr:relSizeAnchor xmlns:cdr="http://schemas.openxmlformats.org/drawingml/2006/chartDrawing">
    <cdr:from>
      <cdr:x>0.18404</cdr:x>
      <cdr:y>0.04</cdr:y>
    </cdr:from>
    <cdr:to>
      <cdr:x>0.79642</cdr:x>
      <cdr:y>0.17714</cdr:y>
    </cdr:to>
    <cdr:sp macro="" textlink="">
      <cdr:nvSpPr>
        <cdr:cNvPr id="2" name="TextBox 1"/>
        <cdr:cNvSpPr txBox="1"/>
      </cdr:nvSpPr>
      <cdr:spPr>
        <a:xfrm xmlns:a="http://schemas.openxmlformats.org/drawingml/2006/main">
          <a:off x="1537608" y="190500"/>
          <a:ext cx="5116286" cy="6531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Project Type</a:t>
          </a:r>
          <a:r>
            <a:rPr lang="en-US" sz="1800" b="1" baseline="0"/>
            <a:t> vs. Total Individuals Served and Total Encounters Provided during DY2-5</a:t>
          </a:r>
          <a:endParaRPr lang="en-US" sz="1800" b="1"/>
        </a:p>
      </cdr:txBody>
    </cdr:sp>
  </cdr:relSizeAnchor>
</c:userShapes>
</file>

<file path=xl/drawings/drawing13.xml><?xml version="1.0" encoding="utf-8"?>
<xdr:wsDr xmlns:xdr="http://schemas.openxmlformats.org/drawingml/2006/spreadsheetDrawing" xmlns:a="http://schemas.openxmlformats.org/drawingml/2006/main">
  <xdr:twoCellAnchor>
    <xdr:from>
      <xdr:col>19</xdr:col>
      <xdr:colOff>27215</xdr:colOff>
      <xdr:row>0</xdr:row>
      <xdr:rowOff>50347</xdr:rowOff>
    </xdr:from>
    <xdr:to>
      <xdr:col>30</xdr:col>
      <xdr:colOff>443593</xdr:colOff>
      <xdr:row>9</xdr:row>
      <xdr:rowOff>149679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1570264</xdr:colOff>
      <xdr:row>0</xdr:row>
      <xdr:rowOff>48986</xdr:rowOff>
    </xdr:from>
    <xdr:to>
      <xdr:col>20</xdr:col>
      <xdr:colOff>87993</xdr:colOff>
      <xdr:row>9</xdr:row>
      <xdr:rowOff>163286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68034</xdr:colOff>
      <xdr:row>11</xdr:row>
      <xdr:rowOff>190500</xdr:rowOff>
    </xdr:from>
    <xdr:to>
      <xdr:col>18</xdr:col>
      <xdr:colOff>598713</xdr:colOff>
      <xdr:row>22</xdr:row>
      <xdr:rowOff>13607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326570</xdr:colOff>
      <xdr:row>11</xdr:row>
      <xdr:rowOff>190499</xdr:rowOff>
    </xdr:from>
    <xdr:to>
      <xdr:col>30</xdr:col>
      <xdr:colOff>598713</xdr:colOff>
      <xdr:row>21</xdr:row>
      <xdr:rowOff>163285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40820</xdr:colOff>
      <xdr:row>24</xdr:row>
      <xdr:rowOff>13607</xdr:rowOff>
    </xdr:from>
    <xdr:to>
      <xdr:col>22</xdr:col>
      <xdr:colOff>598714</xdr:colOff>
      <xdr:row>55</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0.13951</cdr:x>
      <cdr:y>0.03801</cdr:y>
    </cdr:from>
    <cdr:to>
      <cdr:x>0.77703</cdr:x>
      <cdr:y>0.20605</cdr:y>
    </cdr:to>
    <cdr:sp macro="" textlink="">
      <cdr:nvSpPr>
        <cdr:cNvPr id="2" name="TextBox 1"/>
        <cdr:cNvSpPr txBox="1"/>
      </cdr:nvSpPr>
      <cdr:spPr>
        <a:xfrm xmlns:a="http://schemas.openxmlformats.org/drawingml/2006/main">
          <a:off x="987879" y="164162"/>
          <a:ext cx="4514393" cy="7257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Project Type vs. Total Projects and Total Providers</a:t>
          </a:r>
        </a:p>
      </cdr:txBody>
    </cdr:sp>
  </cdr:relSizeAnchor>
</c:userShapes>
</file>

<file path=xl/drawings/drawing15.xml><?xml version="1.0" encoding="utf-8"?>
<c:userShapes xmlns:c="http://schemas.openxmlformats.org/drawingml/2006/chart">
  <cdr:relSizeAnchor xmlns:cdr="http://schemas.openxmlformats.org/drawingml/2006/chartDrawing">
    <cdr:from>
      <cdr:x>0.1236</cdr:x>
      <cdr:y>0.0302</cdr:y>
    </cdr:from>
    <cdr:to>
      <cdr:x>0.91386</cdr:x>
      <cdr:y>0.20134</cdr:y>
    </cdr:to>
    <cdr:sp macro="" textlink="">
      <cdr:nvSpPr>
        <cdr:cNvPr id="2" name="TextBox 1"/>
        <cdr:cNvSpPr txBox="1"/>
      </cdr:nvSpPr>
      <cdr:spPr>
        <a:xfrm xmlns:a="http://schemas.openxmlformats.org/drawingml/2006/main">
          <a:off x="898073" y="122464"/>
          <a:ext cx="5742214" cy="693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Project Type vs. Individuals served and Encounters Provided during DY3-5</a:t>
          </a:r>
        </a:p>
      </cdr:txBody>
    </cdr:sp>
  </cdr:relSizeAnchor>
</c:userShapes>
</file>

<file path=xl/drawings/drawing16.xml><?xml version="1.0" encoding="utf-8"?>
<c:userShapes xmlns:c="http://schemas.openxmlformats.org/drawingml/2006/chart">
  <cdr:relSizeAnchor xmlns:cdr="http://schemas.openxmlformats.org/drawingml/2006/chartDrawing">
    <cdr:from>
      <cdr:x>0.09903</cdr:x>
      <cdr:y>0.03729</cdr:y>
    </cdr:from>
    <cdr:to>
      <cdr:x>0.88932</cdr:x>
      <cdr:y>0.16271</cdr:y>
    </cdr:to>
    <cdr:sp macro="" textlink="">
      <cdr:nvSpPr>
        <cdr:cNvPr id="2" name="TextBox 1"/>
        <cdr:cNvSpPr txBox="1"/>
      </cdr:nvSpPr>
      <cdr:spPr>
        <a:xfrm xmlns:a="http://schemas.openxmlformats.org/drawingml/2006/main">
          <a:off x="693966" y="149679"/>
          <a:ext cx="5538107" cy="5034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latin typeface="+mn-lt"/>
            </a:rPr>
            <a:t>QPI Grouping</a:t>
          </a:r>
          <a:r>
            <a:rPr lang="en-US" sz="1800" b="1" baseline="0">
              <a:latin typeface="+mn-lt"/>
            </a:rPr>
            <a:t> Type vs. QPI Targets for DY3-5</a:t>
          </a:r>
        </a:p>
      </cdr:txBody>
    </cdr:sp>
  </cdr:relSizeAnchor>
</c:userShapes>
</file>

<file path=xl/drawings/drawing17.xml><?xml version="1.0" encoding="utf-8"?>
<c:userShapes xmlns:c="http://schemas.openxmlformats.org/drawingml/2006/chart">
  <cdr:relSizeAnchor xmlns:cdr="http://schemas.openxmlformats.org/drawingml/2006/chartDrawing">
    <cdr:from>
      <cdr:x>0.1257</cdr:x>
      <cdr:y>0.03233</cdr:y>
    </cdr:from>
    <cdr:to>
      <cdr:x>0.86313</cdr:x>
      <cdr:y>0.15473</cdr:y>
    </cdr:to>
    <cdr:sp macro="" textlink="">
      <cdr:nvSpPr>
        <cdr:cNvPr id="2" name="TextBox 1"/>
        <cdr:cNvSpPr txBox="1"/>
      </cdr:nvSpPr>
      <cdr:spPr>
        <a:xfrm xmlns:a="http://schemas.openxmlformats.org/drawingml/2006/main">
          <a:off x="1224644" y="190500"/>
          <a:ext cx="7184572" cy="721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Number of Projects and Incentive Payment Amounts for Cat 1, 2 and 3 by Project Type and Outcome</a:t>
          </a:r>
        </a:p>
      </cdr:txBody>
    </cdr:sp>
  </cdr:relSizeAnchor>
</c:userShapes>
</file>

<file path=xl/drawings/drawing18.xml><?xml version="1.0" encoding="utf-8"?>
<xdr:wsDr xmlns:xdr="http://schemas.openxmlformats.org/drawingml/2006/spreadsheetDrawing" xmlns:a="http://schemas.openxmlformats.org/drawingml/2006/main">
  <xdr:twoCellAnchor>
    <xdr:from>
      <xdr:col>18</xdr:col>
      <xdr:colOff>598714</xdr:colOff>
      <xdr:row>0</xdr:row>
      <xdr:rowOff>146958</xdr:rowOff>
    </xdr:from>
    <xdr:to>
      <xdr:col>29</xdr:col>
      <xdr:colOff>519794</xdr:colOff>
      <xdr:row>11</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81644</xdr:colOff>
      <xdr:row>0</xdr:row>
      <xdr:rowOff>133350</xdr:rowOff>
    </xdr:from>
    <xdr:to>
      <xdr:col>18</xdr:col>
      <xdr:colOff>304799</xdr:colOff>
      <xdr:row>11</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122464</xdr:colOff>
      <xdr:row>13</xdr:row>
      <xdr:rowOff>122464</xdr:rowOff>
    </xdr:from>
    <xdr:to>
      <xdr:col>19</xdr:col>
      <xdr:colOff>190499</xdr:colOff>
      <xdr:row>25</xdr:row>
      <xdr:rowOff>176892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13607</xdr:colOff>
      <xdr:row>13</xdr:row>
      <xdr:rowOff>13607</xdr:rowOff>
    </xdr:from>
    <xdr:to>
      <xdr:col>31</xdr:col>
      <xdr:colOff>585106</xdr:colOff>
      <xdr:row>25</xdr:row>
      <xdr:rowOff>163286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122463</xdr:colOff>
      <xdr:row>28</xdr:row>
      <xdr:rowOff>13607</xdr:rowOff>
    </xdr:from>
    <xdr:to>
      <xdr:col>27</xdr:col>
      <xdr:colOff>0</xdr:colOff>
      <xdr:row>56</xdr:row>
      <xdr:rowOff>163286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0.24547</cdr:x>
      <cdr:y>0.03333</cdr:y>
    </cdr:from>
    <cdr:to>
      <cdr:x>0.83196</cdr:x>
      <cdr:y>0.13571</cdr:y>
    </cdr:to>
    <cdr:sp macro="" textlink="">
      <cdr:nvSpPr>
        <cdr:cNvPr id="2" name="TextBox 1"/>
        <cdr:cNvSpPr txBox="1"/>
      </cdr:nvSpPr>
      <cdr:spPr>
        <a:xfrm xmlns:a="http://schemas.openxmlformats.org/drawingml/2006/main">
          <a:off x="1419226" y="133350"/>
          <a:ext cx="3390900" cy="409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0.24547</cdr:x>
      <cdr:y>0.03333</cdr:y>
    </cdr:from>
    <cdr:to>
      <cdr:x>0.89292</cdr:x>
      <cdr:y>0.14048</cdr:y>
    </cdr:to>
    <cdr:sp macro="" textlink="">
      <cdr:nvSpPr>
        <cdr:cNvPr id="3" name="TextBox 1"/>
        <cdr:cNvSpPr txBox="1"/>
      </cdr:nvSpPr>
      <cdr:spPr>
        <a:xfrm xmlns:a="http://schemas.openxmlformats.org/drawingml/2006/main">
          <a:off x="1419227" y="133338"/>
          <a:ext cx="3743323" cy="4286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b="1"/>
            <a:t>Primary Care Project Sub-category</a:t>
          </a:r>
        </a:p>
      </cdr:txBody>
    </cdr:sp>
  </cdr:relSizeAnchor>
</c:userShapes>
</file>

<file path=xl/drawings/drawing2.xml><?xml version="1.0" encoding="utf-8"?>
<xdr:wsDr xmlns:xdr="http://schemas.openxmlformats.org/drawingml/2006/spreadsheetDrawing" xmlns:a="http://schemas.openxmlformats.org/drawingml/2006/main">
  <xdr:twoCellAnchor>
    <xdr:from>
      <xdr:col>9</xdr:col>
      <xdr:colOff>369092</xdr:colOff>
      <xdr:row>0</xdr:row>
      <xdr:rowOff>71438</xdr:rowOff>
    </xdr:from>
    <xdr:to>
      <xdr:col>19</xdr:col>
      <xdr:colOff>607218</xdr:colOff>
      <xdr:row>16</xdr:row>
      <xdr:rowOff>154781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0</xdr:row>
      <xdr:rowOff>0</xdr:rowOff>
    </xdr:from>
    <xdr:to>
      <xdr:col>34</xdr:col>
      <xdr:colOff>47625</xdr:colOff>
      <xdr:row>16</xdr:row>
      <xdr:rowOff>11905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452438</xdr:colOff>
      <xdr:row>18</xdr:row>
      <xdr:rowOff>0</xdr:rowOff>
    </xdr:from>
    <xdr:to>
      <xdr:col>20</xdr:col>
      <xdr:colOff>0</xdr:colOff>
      <xdr:row>33</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23811</xdr:colOff>
      <xdr:row>17</xdr:row>
      <xdr:rowOff>130968</xdr:rowOff>
    </xdr:from>
    <xdr:to>
      <xdr:col>32</xdr:col>
      <xdr:colOff>11906</xdr:colOff>
      <xdr:row>33</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547685</xdr:colOff>
      <xdr:row>33</xdr:row>
      <xdr:rowOff>35719</xdr:rowOff>
    </xdr:from>
    <xdr:to>
      <xdr:col>28</xdr:col>
      <xdr:colOff>11906</xdr:colOff>
      <xdr:row>59</xdr:row>
      <xdr:rowOff>11907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0.09932</cdr:x>
      <cdr:y>0.02397</cdr:y>
    </cdr:from>
    <cdr:to>
      <cdr:x>0.91422</cdr:x>
      <cdr:y>0.19521</cdr:y>
    </cdr:to>
    <cdr:sp macro="" textlink="">
      <cdr:nvSpPr>
        <cdr:cNvPr id="2" name="TextBox 10"/>
        <cdr:cNvSpPr txBox="1"/>
      </cdr:nvSpPr>
      <cdr:spPr>
        <a:xfrm xmlns:a="http://schemas.openxmlformats.org/drawingml/2006/main">
          <a:off x="598714" y="95250"/>
          <a:ext cx="4912179" cy="68035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400" b="1">
              <a:latin typeface="Tahoma" pitchFamily="34" charset="0"/>
              <a:ea typeface="Tahoma" pitchFamily="34" charset="0"/>
              <a:cs typeface="Tahoma" pitchFamily="34" charset="0"/>
            </a:rPr>
            <a:t>Project</a:t>
          </a:r>
          <a:r>
            <a:rPr lang="en-US" sz="1400" b="1" baseline="0">
              <a:latin typeface="Tahoma" pitchFamily="34" charset="0"/>
              <a:ea typeface="Tahoma" pitchFamily="34" charset="0"/>
              <a:cs typeface="Tahoma" pitchFamily="34" charset="0"/>
            </a:rPr>
            <a:t> Type vs. Individuals served and Encounters provided during DY3-5</a:t>
          </a:r>
          <a:endParaRPr lang="en-US" sz="1400" b="1">
            <a:latin typeface="Tahoma" pitchFamily="34" charset="0"/>
            <a:ea typeface="Tahoma" pitchFamily="34" charset="0"/>
            <a:cs typeface="Tahoma" pitchFamily="34" charset="0"/>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0.13222</cdr:x>
      <cdr:y>0.02007</cdr:y>
    </cdr:from>
    <cdr:to>
      <cdr:x>0.85103</cdr:x>
      <cdr:y>0.15384</cdr:y>
    </cdr:to>
    <cdr:sp macro="" textlink="">
      <cdr:nvSpPr>
        <cdr:cNvPr id="2" name="TextBox 1"/>
        <cdr:cNvSpPr txBox="1"/>
      </cdr:nvSpPr>
      <cdr:spPr>
        <a:xfrm xmlns:a="http://schemas.openxmlformats.org/drawingml/2006/main">
          <a:off x="966107" y="81642"/>
          <a:ext cx="5252395" cy="5442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800" b="1"/>
            <a:t>QPI Grouping Type vs. Yearly QPI Targets</a:t>
          </a:r>
          <a:r>
            <a:rPr lang="en-US" sz="1800" b="1" baseline="0"/>
            <a:t> for DY3-5</a:t>
          </a:r>
        </a:p>
      </cdr:txBody>
    </cdr:sp>
  </cdr:relSizeAnchor>
</c:userShapes>
</file>

<file path=xl/drawings/drawing22.xml><?xml version="1.0" encoding="utf-8"?>
<c:userShapes xmlns:c="http://schemas.openxmlformats.org/drawingml/2006/chart">
  <cdr:relSizeAnchor xmlns:cdr="http://schemas.openxmlformats.org/drawingml/2006/chartDrawing">
    <cdr:from>
      <cdr:x>0.08489</cdr:x>
      <cdr:y>0.02978</cdr:y>
    </cdr:from>
    <cdr:to>
      <cdr:x>0.94478</cdr:x>
      <cdr:y>0.12407</cdr:y>
    </cdr:to>
    <cdr:sp macro="" textlink="">
      <cdr:nvSpPr>
        <cdr:cNvPr id="2" name="TextBox 1"/>
        <cdr:cNvSpPr txBox="1"/>
      </cdr:nvSpPr>
      <cdr:spPr>
        <a:xfrm xmlns:a="http://schemas.openxmlformats.org/drawingml/2006/main">
          <a:off x="925286" y="163286"/>
          <a:ext cx="9372147" cy="5170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800" b="1"/>
            <a:t>Number</a:t>
          </a:r>
          <a:r>
            <a:rPr lang="en-US" sz="1800" b="1" baseline="0"/>
            <a:t> of Projects and Incentive Payment Amount vs. Project Type and Outcome</a:t>
          </a:r>
          <a:endParaRPr lang="en-US" sz="1800" b="1"/>
        </a:p>
      </cdr:txBody>
    </cdr:sp>
  </cdr:relSizeAnchor>
</c:userShapes>
</file>

<file path=xl/drawings/drawing23.xml><?xml version="1.0" encoding="utf-8"?>
<xdr:wsDr xmlns:xdr="http://schemas.openxmlformats.org/drawingml/2006/spreadsheetDrawing" xmlns:a="http://schemas.openxmlformats.org/drawingml/2006/main">
  <xdr:twoCellAnchor>
    <xdr:from>
      <xdr:col>18</xdr:col>
      <xdr:colOff>393700</xdr:colOff>
      <xdr:row>0</xdr:row>
      <xdr:rowOff>180975</xdr:rowOff>
    </xdr:from>
    <xdr:to>
      <xdr:col>28</xdr:col>
      <xdr:colOff>95250</xdr:colOff>
      <xdr:row>13</xdr:row>
      <xdr:rowOff>585107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0</xdr:row>
      <xdr:rowOff>142874</xdr:rowOff>
    </xdr:from>
    <xdr:to>
      <xdr:col>18</xdr:col>
      <xdr:colOff>258536</xdr:colOff>
      <xdr:row>13</xdr:row>
      <xdr:rowOff>571500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95249</xdr:colOff>
      <xdr:row>39</xdr:row>
      <xdr:rowOff>40821</xdr:rowOff>
    </xdr:from>
    <xdr:to>
      <xdr:col>25</xdr:col>
      <xdr:colOff>489856</xdr:colOff>
      <xdr:row>69</xdr:row>
      <xdr:rowOff>108856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598713</xdr:colOff>
      <xdr:row>15</xdr:row>
      <xdr:rowOff>176893</xdr:rowOff>
    </xdr:from>
    <xdr:to>
      <xdr:col>18</xdr:col>
      <xdr:colOff>517070</xdr:colOff>
      <xdr:row>36</xdr:row>
      <xdr:rowOff>149678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27214</xdr:colOff>
      <xdr:row>17</xdr:row>
      <xdr:rowOff>13608</xdr:rowOff>
    </xdr:from>
    <xdr:to>
      <xdr:col>28</xdr:col>
      <xdr:colOff>585107</xdr:colOff>
      <xdr:row>37</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0.1121</cdr:x>
      <cdr:y>0.03438</cdr:y>
    </cdr:from>
    <cdr:to>
      <cdr:x>0.82206</cdr:x>
      <cdr:y>0.17192</cdr:y>
    </cdr:to>
    <cdr:sp macro="" textlink="">
      <cdr:nvSpPr>
        <cdr:cNvPr id="2" name="TextBox 1"/>
        <cdr:cNvSpPr txBox="1"/>
      </cdr:nvSpPr>
      <cdr:spPr>
        <a:xfrm xmlns:a="http://schemas.openxmlformats.org/drawingml/2006/main">
          <a:off x="600074" y="114301"/>
          <a:ext cx="3800475"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b="1"/>
            <a:t>Specialty</a:t>
          </a:r>
          <a:r>
            <a:rPr lang="en-US" sz="1800" b="1" baseline="0"/>
            <a:t> Care Project Sub-category</a:t>
          </a:r>
          <a:endParaRPr lang="en-US" sz="1800" b="1"/>
        </a:p>
      </cdr:txBody>
    </cdr:sp>
  </cdr:relSizeAnchor>
</c:userShapes>
</file>

<file path=xl/drawings/drawing25.xml><?xml version="1.0" encoding="utf-8"?>
<c:userShapes xmlns:c="http://schemas.openxmlformats.org/drawingml/2006/chart">
  <cdr:relSizeAnchor xmlns:cdr="http://schemas.openxmlformats.org/drawingml/2006/chartDrawing">
    <cdr:from>
      <cdr:x>0.24566</cdr:x>
      <cdr:y>0.05412</cdr:y>
    </cdr:from>
    <cdr:to>
      <cdr:x>0.7757</cdr:x>
      <cdr:y>0.16</cdr:y>
    </cdr:to>
    <cdr:sp macro="" textlink="">
      <cdr:nvSpPr>
        <cdr:cNvPr id="2" name="TextBox 1"/>
        <cdr:cNvSpPr txBox="1"/>
      </cdr:nvSpPr>
      <cdr:spPr>
        <a:xfrm xmlns:a="http://schemas.openxmlformats.org/drawingml/2006/main">
          <a:off x="2503714" y="312964"/>
          <a:ext cx="5402036" cy="6123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800" b="1"/>
            <a:t>Number</a:t>
          </a:r>
          <a:r>
            <a:rPr lang="en-US" sz="1800" b="1" baseline="0"/>
            <a:t> of Projects by Project Type and Outcome</a:t>
          </a:r>
          <a:endParaRPr lang="en-US" sz="1800" b="1"/>
        </a:p>
      </cdr:txBody>
    </cdr:sp>
  </cdr:relSizeAnchor>
</c:userShapes>
</file>

<file path=xl/drawings/drawing26.xml><?xml version="1.0" encoding="utf-8"?>
<c:userShapes xmlns:c="http://schemas.openxmlformats.org/drawingml/2006/chart">
  <cdr:relSizeAnchor xmlns:cdr="http://schemas.openxmlformats.org/drawingml/2006/chartDrawing">
    <cdr:from>
      <cdr:x>0.17793</cdr:x>
      <cdr:y>0.01761</cdr:y>
    </cdr:from>
    <cdr:to>
      <cdr:x>0.82289</cdr:x>
      <cdr:y>0.19422</cdr:y>
    </cdr:to>
    <cdr:sp macro="" textlink="">
      <cdr:nvSpPr>
        <cdr:cNvPr id="2" name="TextBox 3"/>
        <cdr:cNvSpPr txBox="1"/>
      </cdr:nvSpPr>
      <cdr:spPr>
        <a:xfrm xmlns:a="http://schemas.openxmlformats.org/drawingml/2006/main">
          <a:off x="1074964" y="68036"/>
          <a:ext cx="3896588" cy="68251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800" b="1"/>
            <a:t>Project Type vs. Total Individuals</a:t>
          </a:r>
          <a:r>
            <a:rPr lang="en-US" sz="1800" b="1" baseline="0"/>
            <a:t> Served and Total Encounters Provided</a:t>
          </a:r>
        </a:p>
        <a:p xmlns:a="http://schemas.openxmlformats.org/drawingml/2006/main">
          <a:endParaRPr lang="en-US" sz="1800" b="1"/>
        </a:p>
      </cdr:txBody>
    </cdr:sp>
  </cdr:relSizeAnchor>
</c:userShapes>
</file>

<file path=xl/drawings/drawing27.xml><?xml version="1.0" encoding="utf-8"?>
<c:userShapes xmlns:c="http://schemas.openxmlformats.org/drawingml/2006/chart">
  <cdr:relSizeAnchor xmlns:cdr="http://schemas.openxmlformats.org/drawingml/2006/chartDrawing">
    <cdr:from>
      <cdr:x>0.15022</cdr:x>
      <cdr:y>0.01408</cdr:y>
    </cdr:from>
    <cdr:to>
      <cdr:x>0.83772</cdr:x>
      <cdr:y>0.1942</cdr:y>
    </cdr:to>
    <cdr:sp macro="" textlink="">
      <cdr:nvSpPr>
        <cdr:cNvPr id="2" name="TextBox 3"/>
        <cdr:cNvSpPr txBox="1"/>
      </cdr:nvSpPr>
      <cdr:spPr>
        <a:xfrm xmlns:a="http://schemas.openxmlformats.org/drawingml/2006/main">
          <a:off x="911679" y="54428"/>
          <a:ext cx="4172255" cy="69604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800" b="1" baseline="0"/>
            <a:t>Yearly QPI Targets for Individuals and Encounters</a:t>
          </a:r>
        </a:p>
        <a:p xmlns:a="http://schemas.openxmlformats.org/drawingml/2006/main">
          <a:endParaRPr lang="en-US" sz="1800" b="1"/>
        </a:p>
      </cdr:txBody>
    </cdr:sp>
  </cdr:relSizeAnchor>
</c:userShapes>
</file>

<file path=xl/drawings/drawing28.xml><?xml version="1.0" encoding="utf-8"?>
<xdr:wsDr xmlns:xdr="http://schemas.openxmlformats.org/drawingml/2006/spreadsheetDrawing" xmlns:a="http://schemas.openxmlformats.org/drawingml/2006/main">
  <xdr:twoCellAnchor>
    <xdr:from>
      <xdr:col>19</xdr:col>
      <xdr:colOff>559252</xdr:colOff>
      <xdr:row>0</xdr:row>
      <xdr:rowOff>141515</xdr:rowOff>
    </xdr:from>
    <xdr:to>
      <xdr:col>33</xdr:col>
      <xdr:colOff>68036</xdr:colOff>
      <xdr:row>13</xdr:row>
      <xdr:rowOff>103415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191859</xdr:colOff>
      <xdr:row>0</xdr:row>
      <xdr:rowOff>117022</xdr:rowOff>
    </xdr:from>
    <xdr:to>
      <xdr:col>19</xdr:col>
      <xdr:colOff>421820</xdr:colOff>
      <xdr:row>13</xdr:row>
      <xdr:rowOff>54429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190499</xdr:colOff>
      <xdr:row>16</xdr:row>
      <xdr:rowOff>40821</xdr:rowOff>
    </xdr:from>
    <xdr:to>
      <xdr:col>21</xdr:col>
      <xdr:colOff>585107</xdr:colOff>
      <xdr:row>36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27214</xdr:colOff>
      <xdr:row>16</xdr:row>
      <xdr:rowOff>54427</xdr:rowOff>
    </xdr:from>
    <xdr:to>
      <xdr:col>35</xdr:col>
      <xdr:colOff>-1</xdr:colOff>
      <xdr:row>35</xdr:row>
      <xdr:rowOff>95249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217713</xdr:colOff>
      <xdr:row>38</xdr:row>
      <xdr:rowOff>0</xdr:rowOff>
    </xdr:from>
    <xdr:to>
      <xdr:col>28</xdr:col>
      <xdr:colOff>217714</xdr:colOff>
      <xdr:row>70</xdr:row>
      <xdr:rowOff>40821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476250</xdr:colOff>
      <xdr:row>38</xdr:row>
      <xdr:rowOff>108858</xdr:rowOff>
    </xdr:from>
    <xdr:to>
      <xdr:col>24</xdr:col>
      <xdr:colOff>299357</xdr:colOff>
      <xdr:row>42</xdr:row>
      <xdr:rowOff>13608</xdr:rowOff>
    </xdr:to>
    <xdr:sp macro="" textlink="">
      <xdr:nvSpPr>
        <xdr:cNvPr id="7" name="TextBox 6"/>
        <xdr:cNvSpPr txBox="1"/>
      </xdr:nvSpPr>
      <xdr:spPr>
        <a:xfrm>
          <a:off x="12439650" y="7722508"/>
          <a:ext cx="7138307" cy="641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a:t>Number of Projects and Total Incentive Payment Amounts by Project Type and Outcome</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0.21097</cdr:x>
      <cdr:y>0.03443</cdr:y>
    </cdr:from>
    <cdr:to>
      <cdr:x>0.79488</cdr:x>
      <cdr:y>0.15314</cdr:y>
    </cdr:to>
    <cdr:sp macro="" textlink="">
      <cdr:nvSpPr>
        <cdr:cNvPr id="2" name="TextBox 1"/>
        <cdr:cNvSpPr txBox="1"/>
      </cdr:nvSpPr>
      <cdr:spPr>
        <a:xfrm xmlns:a="http://schemas.openxmlformats.org/drawingml/2006/main">
          <a:off x="1469511" y="184774"/>
          <a:ext cx="4067237" cy="6370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Project Type vs. Total Projects</a:t>
          </a:r>
          <a:r>
            <a:rPr lang="en-US" sz="1800" b="1" baseline="0"/>
            <a:t> and Total Providers</a:t>
          </a:r>
          <a:endParaRPr lang="en-US" sz="1800" b="1"/>
        </a:p>
      </cdr:txBody>
    </cdr:sp>
  </cdr:relSizeAnchor>
</c:userShapes>
</file>

<file path=xl/drawings/drawing3.xml><?xml version="1.0" encoding="utf-8"?>
<c:userShapes xmlns:c="http://schemas.openxmlformats.org/drawingml/2006/chart">
  <cdr:relSizeAnchor xmlns:cdr="http://schemas.openxmlformats.org/drawingml/2006/chartDrawing">
    <cdr:from>
      <cdr:x>0.27602</cdr:x>
      <cdr:y>0.06188</cdr:y>
    </cdr:from>
    <cdr:to>
      <cdr:x>0.80362</cdr:x>
      <cdr:y>0.15594</cdr:y>
    </cdr:to>
    <cdr:sp macro="" textlink="">
      <cdr:nvSpPr>
        <cdr:cNvPr id="2" name="TextBox 3"/>
        <cdr:cNvSpPr txBox="1"/>
      </cdr:nvSpPr>
      <cdr:spPr>
        <a:xfrm xmlns:a="http://schemas.openxmlformats.org/drawingml/2006/main">
          <a:off x="2178844" y="297657"/>
          <a:ext cx="4164806" cy="45243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800" b="1"/>
            <a:t>Behavioral Health Project Types</a:t>
          </a:r>
        </a:p>
      </cdr:txBody>
    </cdr:sp>
  </cdr:relSizeAnchor>
</c:userShapes>
</file>

<file path=xl/drawings/drawing30.xml><?xml version="1.0" encoding="utf-8"?>
<c:userShapes xmlns:c="http://schemas.openxmlformats.org/drawingml/2006/chart">
  <cdr:relSizeAnchor xmlns:cdr="http://schemas.openxmlformats.org/drawingml/2006/chartDrawing">
    <cdr:from>
      <cdr:x>0.18404</cdr:x>
      <cdr:y>0.04</cdr:y>
    </cdr:from>
    <cdr:to>
      <cdr:x>0.79642</cdr:x>
      <cdr:y>0.17714</cdr:y>
    </cdr:to>
    <cdr:sp macro="" textlink="">
      <cdr:nvSpPr>
        <cdr:cNvPr id="2" name="TextBox 1"/>
        <cdr:cNvSpPr txBox="1"/>
      </cdr:nvSpPr>
      <cdr:spPr>
        <a:xfrm xmlns:a="http://schemas.openxmlformats.org/drawingml/2006/main">
          <a:off x="1537608" y="190500"/>
          <a:ext cx="5116286" cy="6531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Project Type</a:t>
          </a:r>
          <a:r>
            <a:rPr lang="en-US" sz="1800" b="1" baseline="0"/>
            <a:t> vs. Total Individuals Served and Total Encounters Provided during DY2-5</a:t>
          </a:r>
          <a:endParaRPr lang="en-US" sz="1800" b="1"/>
        </a:p>
      </cdr:txBody>
    </cdr:sp>
  </cdr:relSizeAnchor>
</c:userShapes>
</file>

<file path=xl/drawings/drawing31.xml><?xml version="1.0" encoding="utf-8"?>
<xdr:wsDr xmlns:xdr="http://schemas.openxmlformats.org/drawingml/2006/spreadsheetDrawing" xmlns:a="http://schemas.openxmlformats.org/drawingml/2006/main">
  <xdr:twoCellAnchor>
    <xdr:from>
      <xdr:col>8</xdr:col>
      <xdr:colOff>23813</xdr:colOff>
      <xdr:row>0</xdr:row>
      <xdr:rowOff>314325</xdr:rowOff>
    </xdr:from>
    <xdr:to>
      <xdr:col>16</xdr:col>
      <xdr:colOff>466725</xdr:colOff>
      <xdr:row>11</xdr:row>
      <xdr:rowOff>71438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44449</xdr:colOff>
      <xdr:row>0</xdr:row>
      <xdr:rowOff>304799</xdr:rowOff>
    </xdr:from>
    <xdr:to>
      <xdr:col>27</xdr:col>
      <xdr:colOff>587374</xdr:colOff>
      <xdr:row>11</xdr:row>
      <xdr:rowOff>63500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47624</xdr:colOff>
      <xdr:row>14</xdr:row>
      <xdr:rowOff>35719</xdr:rowOff>
    </xdr:from>
    <xdr:to>
      <xdr:col>18</xdr:col>
      <xdr:colOff>11905</xdr:colOff>
      <xdr:row>30</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428623</xdr:colOff>
      <xdr:row>14</xdr:row>
      <xdr:rowOff>11906</xdr:rowOff>
    </xdr:from>
    <xdr:to>
      <xdr:col>28</xdr:col>
      <xdr:colOff>404811</xdr:colOff>
      <xdr:row>30</xdr:row>
      <xdr:rowOff>35719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47624</xdr:colOff>
      <xdr:row>31</xdr:row>
      <xdr:rowOff>23812</xdr:rowOff>
    </xdr:from>
    <xdr:to>
      <xdr:col>22</xdr:col>
      <xdr:colOff>11906</xdr:colOff>
      <xdr:row>57</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0.12874</cdr:x>
      <cdr:y>0.00476</cdr:y>
    </cdr:from>
    <cdr:to>
      <cdr:x>0.8831</cdr:x>
      <cdr:y>0.24675</cdr:y>
    </cdr:to>
    <cdr:sp macro="" textlink="">
      <cdr:nvSpPr>
        <cdr:cNvPr id="2" name="TextBox 1"/>
        <cdr:cNvSpPr txBox="1"/>
      </cdr:nvSpPr>
      <cdr:spPr>
        <a:xfrm xmlns:a="http://schemas.openxmlformats.org/drawingml/2006/main">
          <a:off x="701133" y="14848"/>
          <a:ext cx="4108183" cy="754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Project Type vs. Total Projects and Total Providers</a:t>
          </a:r>
        </a:p>
        <a:p xmlns:a="http://schemas.openxmlformats.org/drawingml/2006/main">
          <a:endParaRPr lang="en-US" sz="1800" b="1"/>
        </a:p>
      </cdr:txBody>
    </cdr:sp>
  </cdr:relSizeAnchor>
</c:userShapes>
</file>

<file path=xl/drawings/drawing33.xml><?xml version="1.0" encoding="utf-8"?>
<c:userShapes xmlns:c="http://schemas.openxmlformats.org/drawingml/2006/chart">
  <cdr:relSizeAnchor xmlns:cdr="http://schemas.openxmlformats.org/drawingml/2006/chartDrawing">
    <cdr:from>
      <cdr:x>0.15976</cdr:x>
      <cdr:y>0.01475</cdr:y>
    </cdr:from>
    <cdr:to>
      <cdr:x>0.81657</cdr:x>
      <cdr:y>0.17994</cdr:y>
    </cdr:to>
    <cdr:sp macro="" textlink="">
      <cdr:nvSpPr>
        <cdr:cNvPr id="2" name="TextBox 1"/>
        <cdr:cNvSpPr txBox="1"/>
      </cdr:nvSpPr>
      <cdr:spPr>
        <a:xfrm xmlns:a="http://schemas.openxmlformats.org/drawingml/2006/main">
          <a:off x="964407" y="59532"/>
          <a:ext cx="3964782" cy="666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Project Type vs. Total Individuals</a:t>
          </a:r>
          <a:r>
            <a:rPr lang="en-US" sz="1800" b="1" baseline="0"/>
            <a:t> Served and Total Encounters Provided</a:t>
          </a:r>
          <a:endParaRPr lang="en-US" sz="1800" b="1"/>
        </a:p>
      </cdr:txBody>
    </cdr:sp>
  </cdr:relSizeAnchor>
</c:userShapes>
</file>

<file path=xl/drawings/drawing34.xml><?xml version="1.0" encoding="utf-8"?>
<c:userShapes xmlns:c="http://schemas.openxmlformats.org/drawingml/2006/chart">
  <cdr:relSizeAnchor xmlns:cdr="http://schemas.openxmlformats.org/drawingml/2006/chartDrawing">
    <cdr:from>
      <cdr:x>0.13386</cdr:x>
      <cdr:y>0.0407</cdr:y>
    </cdr:from>
    <cdr:to>
      <cdr:x>0.84449</cdr:x>
      <cdr:y>0.15116</cdr:y>
    </cdr:to>
    <cdr:sp macro="" textlink="">
      <cdr:nvSpPr>
        <cdr:cNvPr id="2" name="TextBox 1"/>
        <cdr:cNvSpPr txBox="1"/>
      </cdr:nvSpPr>
      <cdr:spPr>
        <a:xfrm xmlns:a="http://schemas.openxmlformats.org/drawingml/2006/main">
          <a:off x="809626" y="166687"/>
          <a:ext cx="4298157" cy="4524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QPI Grouping Type vs.</a:t>
          </a:r>
          <a:r>
            <a:rPr lang="en-US" sz="1800" b="1" baseline="0"/>
            <a:t> Yearly QPI Targets</a:t>
          </a:r>
          <a:endParaRPr lang="en-US" sz="1800" b="1"/>
        </a:p>
      </cdr:txBody>
    </cdr:sp>
  </cdr:relSizeAnchor>
</c:userShapes>
</file>

<file path=xl/drawings/drawing35.xml><?xml version="1.0" encoding="utf-8"?>
<c:userShapes xmlns:c="http://schemas.openxmlformats.org/drawingml/2006/chart">
  <cdr:relSizeAnchor xmlns:cdr="http://schemas.openxmlformats.org/drawingml/2006/chartDrawing">
    <cdr:from>
      <cdr:x>0.12377</cdr:x>
      <cdr:y>0.02415</cdr:y>
    </cdr:from>
    <cdr:to>
      <cdr:x>0.74262</cdr:x>
      <cdr:y>0.18358</cdr:y>
    </cdr:to>
    <cdr:sp macro="" textlink="">
      <cdr:nvSpPr>
        <cdr:cNvPr id="2" name="TextBox 1"/>
        <cdr:cNvSpPr txBox="1"/>
      </cdr:nvSpPr>
      <cdr:spPr>
        <a:xfrm xmlns:a="http://schemas.openxmlformats.org/drawingml/2006/main">
          <a:off x="1047751" y="119063"/>
          <a:ext cx="5238750" cy="7858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Number of Projects and Total</a:t>
          </a:r>
          <a:r>
            <a:rPr lang="en-US" sz="1800" b="1" baseline="0"/>
            <a:t> </a:t>
          </a:r>
          <a:r>
            <a:rPr lang="en-US" sz="1800" b="1"/>
            <a:t>Incentive</a:t>
          </a:r>
          <a:r>
            <a:rPr lang="en-US" sz="1800" b="1" baseline="0"/>
            <a:t> Payment Amount </a:t>
          </a:r>
          <a:r>
            <a:rPr lang="en-US" sz="1800" b="1"/>
            <a:t>by Outcome and Project Type</a:t>
          </a:r>
        </a:p>
      </cdr:txBody>
    </cdr:sp>
  </cdr:relSizeAnchor>
</c:userShapes>
</file>

<file path=xl/drawings/drawing4.xml><?xml version="1.0" encoding="utf-8"?>
<c:userShapes xmlns:c="http://schemas.openxmlformats.org/drawingml/2006/chart">
  <cdr:relSizeAnchor xmlns:cdr="http://schemas.openxmlformats.org/drawingml/2006/chartDrawing">
    <cdr:from>
      <cdr:x>0.16995</cdr:x>
      <cdr:y>0</cdr:y>
    </cdr:from>
    <cdr:to>
      <cdr:x>0.79571</cdr:x>
      <cdr:y>0.16239</cdr:y>
    </cdr:to>
    <cdr:sp macro="" textlink="">
      <cdr:nvSpPr>
        <cdr:cNvPr id="2" name="TextBox 3"/>
        <cdr:cNvSpPr txBox="1"/>
      </cdr:nvSpPr>
      <cdr:spPr>
        <a:xfrm xmlns:a="http://schemas.openxmlformats.org/drawingml/2006/main">
          <a:off x="1131094" y="0"/>
          <a:ext cx="4164806" cy="67865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800" b="1"/>
            <a:t>Project Type vs. Total Individuals</a:t>
          </a:r>
          <a:r>
            <a:rPr lang="en-US" sz="1800" b="1" baseline="0"/>
            <a:t> Served and Total Encounters Provided</a:t>
          </a:r>
        </a:p>
        <a:p xmlns:a="http://schemas.openxmlformats.org/drawingml/2006/main">
          <a:endParaRPr lang="en-US" sz="1800" b="1"/>
        </a:p>
      </cdr:txBody>
    </cdr:sp>
  </cdr:relSizeAnchor>
</c:userShapes>
</file>

<file path=xl/drawings/drawing5.xml><?xml version="1.0" encoding="utf-8"?>
<c:userShapes xmlns:c="http://schemas.openxmlformats.org/drawingml/2006/chart">
  <cdr:relSizeAnchor xmlns:cdr="http://schemas.openxmlformats.org/drawingml/2006/chartDrawing">
    <cdr:from>
      <cdr:x>0.16995</cdr:x>
      <cdr:y>0</cdr:y>
    </cdr:from>
    <cdr:to>
      <cdr:x>0.79571</cdr:x>
      <cdr:y>0.16239</cdr:y>
    </cdr:to>
    <cdr:sp macro="" textlink="">
      <cdr:nvSpPr>
        <cdr:cNvPr id="2" name="TextBox 3"/>
        <cdr:cNvSpPr txBox="1"/>
      </cdr:nvSpPr>
      <cdr:spPr>
        <a:xfrm xmlns:a="http://schemas.openxmlformats.org/drawingml/2006/main">
          <a:off x="1131094" y="0"/>
          <a:ext cx="4164806" cy="67865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800" b="1" baseline="0"/>
            <a:t>Yearly QPI Targets for Individuals and Encounters</a:t>
          </a:r>
        </a:p>
        <a:p xmlns:a="http://schemas.openxmlformats.org/drawingml/2006/main">
          <a:endParaRPr lang="en-US" sz="1800" b="1"/>
        </a:p>
      </cdr:txBody>
    </cdr:sp>
  </cdr:relSizeAnchor>
</c:userShapes>
</file>

<file path=xl/drawings/drawing6.xml><?xml version="1.0" encoding="utf-8"?>
<c:userShapes xmlns:c="http://schemas.openxmlformats.org/drawingml/2006/chart">
  <cdr:relSizeAnchor xmlns:cdr="http://schemas.openxmlformats.org/drawingml/2006/chartDrawing">
    <cdr:from>
      <cdr:x>0.30411</cdr:x>
      <cdr:y>0.01446</cdr:y>
    </cdr:from>
    <cdr:to>
      <cdr:x>0.74134</cdr:x>
      <cdr:y>0.13494</cdr:y>
    </cdr:to>
    <cdr:sp macro="" textlink="">
      <cdr:nvSpPr>
        <cdr:cNvPr id="2" name="TextBox 3"/>
        <cdr:cNvSpPr txBox="1"/>
      </cdr:nvSpPr>
      <cdr:spPr>
        <a:xfrm xmlns:a="http://schemas.openxmlformats.org/drawingml/2006/main">
          <a:off x="3345655" y="71438"/>
          <a:ext cx="4810127" cy="595313"/>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800" b="1"/>
            <a:t>Number of Projects by Project Type and Outcomes</a:t>
          </a:r>
        </a:p>
      </cdr:txBody>
    </cdr:sp>
  </cdr:relSizeAnchor>
</c:userShapes>
</file>

<file path=xl/drawings/drawing7.xml><?xml version="1.0" encoding="utf-8"?>
<xdr:wsDr xmlns:xdr="http://schemas.openxmlformats.org/drawingml/2006/spreadsheetDrawing" xmlns:a="http://schemas.openxmlformats.org/drawingml/2006/main">
  <xdr:twoCellAnchor>
    <xdr:from>
      <xdr:col>7</xdr:col>
      <xdr:colOff>47622</xdr:colOff>
      <xdr:row>0</xdr:row>
      <xdr:rowOff>66675</xdr:rowOff>
    </xdr:from>
    <xdr:to>
      <xdr:col>18</xdr:col>
      <xdr:colOff>435429</xdr:colOff>
      <xdr:row>13</xdr:row>
      <xdr:rowOff>81643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0</xdr:row>
      <xdr:rowOff>171450</xdr:rowOff>
    </xdr:from>
    <xdr:to>
      <xdr:col>31</xdr:col>
      <xdr:colOff>585107</xdr:colOff>
      <xdr:row>13</xdr:row>
      <xdr:rowOff>176893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149679</xdr:colOff>
      <xdr:row>17</xdr:row>
      <xdr:rowOff>13608</xdr:rowOff>
    </xdr:from>
    <xdr:to>
      <xdr:col>19</xdr:col>
      <xdr:colOff>122465</xdr:colOff>
      <xdr:row>30</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204107</xdr:colOff>
      <xdr:row>17</xdr:row>
      <xdr:rowOff>136071</xdr:rowOff>
    </xdr:from>
    <xdr:to>
      <xdr:col>17</xdr:col>
      <xdr:colOff>217714</xdr:colOff>
      <xdr:row>17</xdr:row>
      <xdr:rowOff>816428</xdr:rowOff>
    </xdr:to>
    <xdr:sp macro="" textlink="">
      <xdr:nvSpPr>
        <xdr:cNvPr id="5" name="TextBox 4"/>
        <xdr:cNvSpPr txBox="1"/>
      </xdr:nvSpPr>
      <xdr:spPr>
        <a:xfrm>
          <a:off x="13196207" y="5431971"/>
          <a:ext cx="4890407" cy="680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a:latin typeface="Tahoma" pitchFamily="34" charset="0"/>
              <a:ea typeface="Tahoma" pitchFamily="34" charset="0"/>
              <a:cs typeface="Tahoma" pitchFamily="34" charset="0"/>
            </a:rPr>
            <a:t>Project</a:t>
          </a:r>
          <a:r>
            <a:rPr lang="en-US" sz="1800" b="1" baseline="0">
              <a:latin typeface="Tahoma" pitchFamily="34" charset="0"/>
              <a:ea typeface="Tahoma" pitchFamily="34" charset="0"/>
              <a:cs typeface="Tahoma" pitchFamily="34" charset="0"/>
            </a:rPr>
            <a:t> Type vs. Individuals served and Encounters provided during DY3-5</a:t>
          </a:r>
          <a:endParaRPr lang="en-US" sz="1800" b="1">
            <a:latin typeface="Tahoma" pitchFamily="34" charset="0"/>
            <a:ea typeface="Tahoma" pitchFamily="34" charset="0"/>
            <a:cs typeface="Tahoma" pitchFamily="34" charset="0"/>
          </a:endParaRPr>
        </a:p>
      </xdr:txBody>
    </xdr:sp>
    <xdr:clientData/>
  </xdr:twoCellAnchor>
  <xdr:twoCellAnchor>
    <xdr:from>
      <xdr:col>20</xdr:col>
      <xdr:colOff>27215</xdr:colOff>
      <xdr:row>17</xdr:row>
      <xdr:rowOff>13608</xdr:rowOff>
    </xdr:from>
    <xdr:to>
      <xdr:col>32</xdr:col>
      <xdr:colOff>27214</xdr:colOff>
      <xdr:row>30</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204105</xdr:colOff>
      <xdr:row>30</xdr:row>
      <xdr:rowOff>27214</xdr:rowOff>
    </xdr:from>
    <xdr:to>
      <xdr:col>29</xdr:col>
      <xdr:colOff>612320</xdr:colOff>
      <xdr:row>62</xdr:row>
      <xdr:rowOff>136072</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0.14444</cdr:x>
      <cdr:y>0.03152</cdr:y>
    </cdr:from>
    <cdr:to>
      <cdr:x>0.85926</cdr:x>
      <cdr:y>0.14613</cdr:y>
    </cdr:to>
    <cdr:sp macro="" textlink="">
      <cdr:nvSpPr>
        <cdr:cNvPr id="2" name="TextBox 1"/>
        <cdr:cNvSpPr txBox="1"/>
      </cdr:nvSpPr>
      <cdr:spPr>
        <a:xfrm xmlns:a="http://schemas.openxmlformats.org/drawingml/2006/main">
          <a:off x="1061356" y="149678"/>
          <a:ext cx="5252358" cy="5442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QPI Grouping Type vs. Yearly QPI Targets</a:t>
          </a:r>
          <a:r>
            <a:rPr lang="en-US" sz="1800" b="1" baseline="0"/>
            <a:t> for DY3-5</a:t>
          </a:r>
        </a:p>
      </cdr:txBody>
    </cdr:sp>
  </cdr:relSizeAnchor>
</c:userShapes>
</file>

<file path=xl/drawings/drawing9.xml><?xml version="1.0" encoding="utf-8"?>
<c:userShapes xmlns:c="http://schemas.openxmlformats.org/drawingml/2006/chart">
  <cdr:relSizeAnchor xmlns:cdr="http://schemas.openxmlformats.org/drawingml/2006/chartDrawing">
    <cdr:from>
      <cdr:x>0.17333</cdr:x>
      <cdr:y>0.05459</cdr:y>
    </cdr:from>
    <cdr:to>
      <cdr:x>0.85867</cdr:x>
      <cdr:y>0.17686</cdr:y>
    </cdr:to>
    <cdr:sp macro="" textlink="">
      <cdr:nvSpPr>
        <cdr:cNvPr id="2" name="TextBox 1"/>
        <cdr:cNvSpPr txBox="1"/>
      </cdr:nvSpPr>
      <cdr:spPr>
        <a:xfrm xmlns:a="http://schemas.openxmlformats.org/drawingml/2006/main">
          <a:off x="1768929" y="340179"/>
          <a:ext cx="6994072" cy="762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Number</a:t>
          </a:r>
          <a:r>
            <a:rPr lang="en-US" sz="1800" b="1" baseline="0"/>
            <a:t> of Projects and Incentive Payment Amount vs. Project Type and Outcome</a:t>
          </a:r>
          <a:endParaRPr lang="en-US" sz="1800" b="1"/>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rita\Documents\Research%20Assistantship\3%20year%20projects\Navigation%20Project%20Summaries_0403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rita\Documents\Research%20Assistantship\3%20year%20projects\Unclassified%20Project%20Summaries_0402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Project Summaries"/>
      <sheetName val="Navigation Tables and Graphs"/>
      <sheetName val="Sheet1"/>
    </sheetNames>
    <sheetDataSet>
      <sheetData sheetId="0">
        <row r="2">
          <cell r="U2">
            <v>1200</v>
          </cell>
          <cell r="V2">
            <v>2460</v>
          </cell>
          <cell r="W2">
            <v>3780</v>
          </cell>
          <cell r="X2">
            <v>7440</v>
          </cell>
        </row>
        <row r="3">
          <cell r="U3">
            <v>500</v>
          </cell>
          <cell r="V3">
            <v>1025</v>
          </cell>
          <cell r="W3">
            <v>1576</v>
          </cell>
          <cell r="X3">
            <v>3101</v>
          </cell>
        </row>
        <row r="4">
          <cell r="U4">
            <v>960</v>
          </cell>
          <cell r="V4">
            <v>1968</v>
          </cell>
          <cell r="W4">
            <v>3024</v>
          </cell>
          <cell r="X4">
            <v>5952</v>
          </cell>
        </row>
        <row r="5">
          <cell r="U5">
            <v>275</v>
          </cell>
          <cell r="V5">
            <v>563</v>
          </cell>
          <cell r="W5">
            <v>866</v>
          </cell>
          <cell r="X5">
            <v>1704</v>
          </cell>
        </row>
        <row r="6">
          <cell r="U6">
            <v>730</v>
          </cell>
          <cell r="V6">
            <v>2805</v>
          </cell>
          <cell r="W6">
            <v>6955</v>
          </cell>
          <cell r="X6">
            <v>10490</v>
          </cell>
        </row>
        <row r="7">
          <cell r="U7">
            <v>0</v>
          </cell>
          <cell r="V7">
            <v>350</v>
          </cell>
          <cell r="W7">
            <v>750</v>
          </cell>
          <cell r="X7">
            <v>1100</v>
          </cell>
        </row>
        <row r="8">
          <cell r="U8">
            <v>12480</v>
          </cell>
          <cell r="V8">
            <v>24960</v>
          </cell>
          <cell r="W8">
            <v>37440</v>
          </cell>
          <cell r="X8">
            <v>74880</v>
          </cell>
        </row>
        <row r="9">
          <cell r="U9">
            <v>250</v>
          </cell>
          <cell r="V9">
            <v>1000</v>
          </cell>
          <cell r="W9">
            <v>2000</v>
          </cell>
          <cell r="X9">
            <v>3250</v>
          </cell>
        </row>
        <row r="10">
          <cell r="U10">
            <v>0</v>
          </cell>
          <cell r="V10">
            <v>107</v>
          </cell>
          <cell r="W10">
            <v>222</v>
          </cell>
          <cell r="X10">
            <v>329</v>
          </cell>
        </row>
        <row r="11">
          <cell r="U11">
            <v>0</v>
          </cell>
          <cell r="V11">
            <v>180</v>
          </cell>
          <cell r="W11">
            <v>380</v>
          </cell>
          <cell r="X11">
            <v>560</v>
          </cell>
        </row>
        <row r="12">
          <cell r="U12">
            <v>200</v>
          </cell>
          <cell r="V12">
            <v>500</v>
          </cell>
          <cell r="W12">
            <v>900</v>
          </cell>
          <cell r="X12">
            <v>1600</v>
          </cell>
        </row>
        <row r="13">
          <cell r="U13">
            <v>200</v>
          </cell>
          <cell r="V13">
            <v>800</v>
          </cell>
          <cell r="W13">
            <v>2050</v>
          </cell>
          <cell r="X13">
            <v>3050</v>
          </cell>
        </row>
        <row r="14">
          <cell r="U14">
            <v>6600</v>
          </cell>
          <cell r="V14">
            <v>15700</v>
          </cell>
          <cell r="W14">
            <v>26950</v>
          </cell>
          <cell r="X14">
            <v>49250</v>
          </cell>
        </row>
        <row r="15">
          <cell r="U15">
            <v>50</v>
          </cell>
          <cell r="V15">
            <v>125</v>
          </cell>
          <cell r="W15">
            <v>219</v>
          </cell>
          <cell r="X15">
            <v>394</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classified Project Summaries"/>
      <sheetName val="Unclassified Tables and Graphs"/>
    </sheetNames>
    <sheetDataSet>
      <sheetData sheetId="0">
        <row r="2">
          <cell r="U2">
            <v>500</v>
          </cell>
          <cell r="V2">
            <v>2500</v>
          </cell>
          <cell r="W2">
            <v>5200</v>
          </cell>
          <cell r="X2">
            <v>8200</v>
          </cell>
        </row>
        <row r="3">
          <cell r="U3">
            <v>0</v>
          </cell>
          <cell r="V3">
            <v>2440</v>
          </cell>
          <cell r="W3">
            <v>6100</v>
          </cell>
          <cell r="X3">
            <v>8540</v>
          </cell>
        </row>
        <row r="4">
          <cell r="U4">
            <v>500</v>
          </cell>
          <cell r="V4">
            <v>1000</v>
          </cell>
          <cell r="W4">
            <v>1500</v>
          </cell>
          <cell r="X4">
            <v>3000</v>
          </cell>
        </row>
        <row r="5">
          <cell r="U5">
            <v>0</v>
          </cell>
          <cell r="V5">
            <v>1000</v>
          </cell>
          <cell r="W5">
            <v>2000</v>
          </cell>
          <cell r="X5">
            <v>3000</v>
          </cell>
        </row>
        <row r="6">
          <cell r="U6">
            <v>31916</v>
          </cell>
          <cell r="V6">
            <v>79993</v>
          </cell>
          <cell r="W6">
            <v>136863</v>
          </cell>
          <cell r="X6">
            <v>248772</v>
          </cell>
        </row>
        <row r="7">
          <cell r="H7" t="str">
            <v>Pharmacy Dispensing</v>
          </cell>
          <cell r="U7">
            <v>24000</v>
          </cell>
          <cell r="V7">
            <v>108000</v>
          </cell>
          <cell r="W7">
            <v>216000</v>
          </cell>
          <cell r="X7">
            <v>348000</v>
          </cell>
        </row>
        <row r="8">
          <cell r="U8">
            <v>0</v>
          </cell>
          <cell r="V8">
            <v>0</v>
          </cell>
          <cell r="W8">
            <v>30000</v>
          </cell>
          <cell r="X8">
            <v>30000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V185"/>
  <sheetViews>
    <sheetView zoomScale="60" zoomScaleNormal="60" workbookViewId="0">
      <pane ySplit="1" topLeftCell="A2" activePane="bottomLeft" state="frozen"/>
      <selection activeCell="A38" sqref="A38:A39"/>
      <selection pane="bottomLeft" activeCell="G3" sqref="G3"/>
    </sheetView>
  </sheetViews>
  <sheetFormatPr defaultColWidth="8.7109375" defaultRowHeight="15" x14ac:dyDescent="0.2"/>
  <cols>
    <col min="1" max="1" width="6.85546875" style="78" customWidth="1"/>
    <col min="2" max="3" width="15.85546875" style="78" customWidth="1"/>
    <col min="4" max="4" width="18.42578125" style="78" customWidth="1"/>
    <col min="5" max="5" width="20.7109375" style="78" customWidth="1"/>
    <col min="6" max="6" width="34.140625" style="78" customWidth="1"/>
    <col min="7" max="7" width="36.5703125" style="78" customWidth="1"/>
    <col min="8" max="8" width="32.140625" style="78" customWidth="1"/>
    <col min="9" max="9" width="20.140625" style="78" customWidth="1"/>
    <col min="10" max="10" width="30.140625" style="78" customWidth="1"/>
    <col min="11" max="11" width="27.85546875" style="78" customWidth="1"/>
    <col min="12" max="12" width="13.85546875" style="78" customWidth="1"/>
    <col min="13" max="13" width="17.140625" style="78" customWidth="1"/>
    <col min="14" max="14" width="14.85546875" style="78" customWidth="1"/>
    <col min="15" max="15" width="12.7109375" style="78" customWidth="1"/>
    <col min="16" max="16" width="16.85546875" style="78" customWidth="1"/>
    <col min="17" max="17" width="19.42578125" style="78" customWidth="1"/>
    <col min="18" max="18" width="15.140625" style="78" customWidth="1"/>
    <col min="19" max="19" width="11.7109375" style="78" customWidth="1"/>
    <col min="20" max="20" width="14" style="78" customWidth="1"/>
    <col min="21" max="21" width="12.5703125" style="78" customWidth="1"/>
    <col min="22" max="22" width="13.85546875" style="78" customWidth="1"/>
    <col min="23" max="23" width="11.85546875" style="78" customWidth="1"/>
    <col min="24" max="25" width="14.7109375" style="78" customWidth="1"/>
    <col min="26" max="26" width="12.140625" style="78" customWidth="1"/>
    <col min="27" max="27" width="18.5703125" style="78" customWidth="1"/>
    <col min="28" max="28" width="17" style="78" customWidth="1"/>
    <col min="29" max="29" width="17.42578125" style="78" customWidth="1"/>
    <col min="30" max="31" width="17" style="78" customWidth="1"/>
    <col min="32" max="32" width="19" style="78" customWidth="1"/>
    <col min="33" max="34" width="18.140625" style="78" customWidth="1"/>
    <col min="35" max="36" width="15.5703125" style="78" customWidth="1"/>
    <col min="37" max="37" width="19.85546875" style="78" customWidth="1"/>
    <col min="38" max="38" width="17.5703125" style="78" customWidth="1"/>
    <col min="39" max="39" width="20" style="78" customWidth="1"/>
    <col min="40" max="40" width="18.85546875" style="78" customWidth="1"/>
    <col min="41" max="41" width="18.85546875" style="159" customWidth="1"/>
    <col min="42" max="45" width="18.85546875" style="185" customWidth="1"/>
    <col min="46" max="46" width="16.28515625" style="185" customWidth="1"/>
    <col min="47" max="57" width="18.85546875" style="185" customWidth="1"/>
    <col min="58" max="58" width="16.7109375" style="185" customWidth="1"/>
    <col min="59" max="59" width="18.85546875" style="185" customWidth="1"/>
    <col min="60" max="60" width="17.85546875" style="185" customWidth="1"/>
    <col min="61" max="61" width="19.5703125" style="11" customWidth="1"/>
    <col min="62" max="62" width="17.5703125" style="205" customWidth="1"/>
    <col min="63" max="63" width="17.85546875" style="78" customWidth="1"/>
    <col min="64" max="64" width="8.7109375" style="78" customWidth="1"/>
    <col min="65" max="16384" width="8.7109375" style="78"/>
  </cols>
  <sheetData>
    <row r="1" spans="1:63" ht="102.6" customHeight="1" thickBot="1" x14ac:dyDescent="0.25">
      <c r="A1" s="603" t="s">
        <v>1325</v>
      </c>
      <c r="B1" s="604" t="s">
        <v>0</v>
      </c>
      <c r="C1" s="605" t="s">
        <v>978</v>
      </c>
      <c r="D1" s="605" t="s">
        <v>1021</v>
      </c>
      <c r="E1" s="605" t="s">
        <v>1254</v>
      </c>
      <c r="F1" s="605" t="s">
        <v>1</v>
      </c>
      <c r="G1" s="604" t="s">
        <v>2</v>
      </c>
      <c r="H1" s="605" t="s">
        <v>1333</v>
      </c>
      <c r="I1" s="605" t="s">
        <v>979</v>
      </c>
      <c r="J1" s="604" t="s">
        <v>980</v>
      </c>
      <c r="K1" s="604" t="s">
        <v>1018</v>
      </c>
      <c r="L1" s="606" t="s">
        <v>981</v>
      </c>
      <c r="M1" s="604" t="s">
        <v>3</v>
      </c>
      <c r="N1" s="604" t="s">
        <v>4</v>
      </c>
      <c r="O1" s="604" t="s">
        <v>982</v>
      </c>
      <c r="P1" s="604" t="s">
        <v>983</v>
      </c>
      <c r="Q1" s="605" t="s">
        <v>984</v>
      </c>
      <c r="R1" s="605" t="s">
        <v>1538</v>
      </c>
      <c r="S1" s="605" t="s">
        <v>1532</v>
      </c>
      <c r="T1" s="605" t="s">
        <v>1536</v>
      </c>
      <c r="U1" s="605" t="s">
        <v>1533</v>
      </c>
      <c r="V1" s="605" t="s">
        <v>1537</v>
      </c>
      <c r="W1" s="605" t="s">
        <v>1534</v>
      </c>
      <c r="X1" s="605" t="s">
        <v>1571</v>
      </c>
      <c r="Y1" s="605" t="s">
        <v>1564</v>
      </c>
      <c r="Z1" s="604" t="s">
        <v>1535</v>
      </c>
      <c r="AA1" s="604" t="s">
        <v>1549</v>
      </c>
      <c r="AB1" s="604" t="s">
        <v>1550</v>
      </c>
      <c r="AC1" s="604" t="s">
        <v>1565</v>
      </c>
      <c r="AD1" s="604" t="s">
        <v>1566</v>
      </c>
      <c r="AE1" s="604" t="s">
        <v>1551</v>
      </c>
      <c r="AF1" s="604" t="s">
        <v>1552</v>
      </c>
      <c r="AG1" s="604" t="s">
        <v>1567</v>
      </c>
      <c r="AH1" s="604" t="s">
        <v>1568</v>
      </c>
      <c r="AI1" s="604" t="s">
        <v>1569</v>
      </c>
      <c r="AJ1" s="604" t="s">
        <v>1570</v>
      </c>
      <c r="AK1" s="604" t="s">
        <v>988</v>
      </c>
      <c r="AL1" s="604" t="s">
        <v>989</v>
      </c>
      <c r="AM1" s="605" t="s">
        <v>990</v>
      </c>
      <c r="AN1" s="604" t="s">
        <v>991</v>
      </c>
      <c r="AO1" s="604" t="s">
        <v>1032</v>
      </c>
      <c r="AP1" s="671" t="s">
        <v>1523</v>
      </c>
      <c r="AQ1" s="604" t="s">
        <v>1326</v>
      </c>
      <c r="AR1" s="604" t="s">
        <v>1327</v>
      </c>
      <c r="AS1" s="604" t="s">
        <v>1328</v>
      </c>
      <c r="AT1" s="604" t="s">
        <v>1329</v>
      </c>
      <c r="AU1" s="606" t="s">
        <v>1330</v>
      </c>
      <c r="AV1" s="606" t="s">
        <v>1331</v>
      </c>
      <c r="AW1" s="606" t="s">
        <v>1505</v>
      </c>
      <c r="AX1" s="671" t="s">
        <v>1506</v>
      </c>
      <c r="AY1" s="671" t="s">
        <v>1509</v>
      </c>
      <c r="AZ1" s="593" t="s">
        <v>1332</v>
      </c>
      <c r="BA1" s="670"/>
      <c r="BB1" s="670"/>
      <c r="BC1" s="670"/>
      <c r="BD1" s="670"/>
      <c r="BE1" s="670"/>
      <c r="BF1" s="196"/>
      <c r="BG1" s="196" t="s">
        <v>1258</v>
      </c>
      <c r="BH1" s="196" t="s">
        <v>1261</v>
      </c>
      <c r="BI1" s="197" t="s">
        <v>1259</v>
      </c>
      <c r="BJ1" s="204" t="s">
        <v>1260</v>
      </c>
      <c r="BK1" s="573"/>
    </row>
    <row r="2" spans="1:63" s="11" customFormat="1" ht="90.75" thickBot="1" x14ac:dyDescent="0.3">
      <c r="A2" s="34">
        <v>1</v>
      </c>
      <c r="B2" s="3" t="s">
        <v>5</v>
      </c>
      <c r="C2" s="3" t="s">
        <v>6</v>
      </c>
      <c r="D2" s="3" t="s">
        <v>339</v>
      </c>
      <c r="E2" s="3" t="s">
        <v>1225</v>
      </c>
      <c r="F2" s="3" t="s">
        <v>8</v>
      </c>
      <c r="G2" s="4" t="s">
        <v>11</v>
      </c>
      <c r="H2" s="613" t="s">
        <v>1334</v>
      </c>
      <c r="I2" s="3" t="s">
        <v>7</v>
      </c>
      <c r="J2" s="3" t="s">
        <v>992</v>
      </c>
      <c r="K2" s="3" t="s">
        <v>9</v>
      </c>
      <c r="L2" s="3" t="s">
        <v>10</v>
      </c>
      <c r="M2" s="168">
        <v>9.1300000000000008</v>
      </c>
      <c r="N2" s="169">
        <v>9.2550000000000008</v>
      </c>
      <c r="O2" s="170">
        <v>1.0136909999999999</v>
      </c>
      <c r="P2" s="5" t="s">
        <v>12</v>
      </c>
      <c r="Q2" s="4" t="s">
        <v>13</v>
      </c>
      <c r="R2" s="12">
        <v>0</v>
      </c>
      <c r="S2" s="3">
        <v>2310</v>
      </c>
      <c r="T2" s="3">
        <v>2695</v>
      </c>
      <c r="U2" s="3">
        <v>2911</v>
      </c>
      <c r="V2" s="3">
        <v>3008</v>
      </c>
      <c r="W2" s="6">
        <v>3038</v>
      </c>
      <c r="X2" s="6">
        <f>SUM(T2,V2)</f>
        <v>5703</v>
      </c>
      <c r="Y2" s="6">
        <f>S2+U2</f>
        <v>5221</v>
      </c>
      <c r="Z2" s="12">
        <f t="shared" ref="Z2:Z33" si="0">SUM(S2,U2,W2)</f>
        <v>8259</v>
      </c>
      <c r="AA2" s="811">
        <v>0.56999999999999995</v>
      </c>
      <c r="AB2" s="811">
        <v>0.2868</v>
      </c>
      <c r="AC2" s="836">
        <f>AA2*T2</f>
        <v>1536.1499999999999</v>
      </c>
      <c r="AD2" s="836">
        <f>AB2*T2</f>
        <v>772.92600000000004</v>
      </c>
      <c r="AE2" s="811">
        <v>0.56999999999999995</v>
      </c>
      <c r="AF2" s="811">
        <v>0.6643</v>
      </c>
      <c r="AG2" s="836">
        <f>AE2*V2</f>
        <v>1714.56</v>
      </c>
      <c r="AH2" s="836">
        <f>AF2*V2</f>
        <v>1998.2144000000001</v>
      </c>
      <c r="AI2" s="794">
        <f>SUM(AC2,AG2)</f>
        <v>3250.71</v>
      </c>
      <c r="AJ2" s="794">
        <f>SUM(AD2,AH2)</f>
        <v>2771.1404000000002</v>
      </c>
      <c r="AK2" s="8">
        <v>14178531</v>
      </c>
      <c r="AL2" s="8">
        <v>3829186</v>
      </c>
      <c r="AM2" s="9">
        <f t="shared" ref="AM2:AM33" si="1">SUM(AK2:AL2)</f>
        <v>18007717</v>
      </c>
      <c r="AN2" s="127">
        <v>523022</v>
      </c>
      <c r="AO2" s="77">
        <v>523022</v>
      </c>
      <c r="AP2" s="171">
        <v>0</v>
      </c>
      <c r="AQ2" s="614">
        <v>3045217</v>
      </c>
      <c r="AR2" s="614">
        <v>3322168</v>
      </c>
      <c r="AS2" s="614">
        <v>4277532</v>
      </c>
      <c r="AT2" s="614">
        <v>3533614</v>
      </c>
      <c r="AU2" s="614">
        <v>459949.72048055468</v>
      </c>
      <c r="AV2" s="614">
        <v>523022.2</v>
      </c>
      <c r="AW2" s="776">
        <v>839267.98</v>
      </c>
      <c r="AX2" s="776">
        <v>839268</v>
      </c>
      <c r="AY2" s="776">
        <v>0</v>
      </c>
      <c r="AZ2" s="615">
        <v>2006945.56</v>
      </c>
      <c r="BA2" s="668"/>
      <c r="BB2" s="668"/>
      <c r="BC2" s="668"/>
      <c r="BD2" s="668"/>
      <c r="BE2" s="668"/>
      <c r="BF2" s="198"/>
      <c r="BG2" s="198">
        <v>0</v>
      </c>
      <c r="BH2" s="184">
        <v>523022</v>
      </c>
      <c r="BI2" s="181">
        <v>523022</v>
      </c>
      <c r="BJ2" s="181">
        <f>BG2+BH2</f>
        <v>523022</v>
      </c>
    </row>
    <row r="3" spans="1:63" s="10" customFormat="1" ht="198.95" customHeight="1" thickBot="1" x14ac:dyDescent="0.3">
      <c r="A3" s="1">
        <v>2</v>
      </c>
      <c r="B3" s="3" t="s">
        <v>14</v>
      </c>
      <c r="C3" s="699" t="s">
        <v>15</v>
      </c>
      <c r="D3" s="3" t="s">
        <v>339</v>
      </c>
      <c r="E3" s="3" t="s">
        <v>1226</v>
      </c>
      <c r="F3" s="12" t="s">
        <v>17</v>
      </c>
      <c r="G3" s="4" t="s">
        <v>18</v>
      </c>
      <c r="H3" s="613" t="s">
        <v>1337</v>
      </c>
      <c r="I3" s="56" t="s">
        <v>16</v>
      </c>
      <c r="J3" s="12" t="s">
        <v>992</v>
      </c>
      <c r="K3" s="3" t="s">
        <v>1189</v>
      </c>
      <c r="L3" s="3" t="s">
        <v>10</v>
      </c>
      <c r="M3" s="14">
        <v>79407</v>
      </c>
      <c r="N3" s="6">
        <v>12215</v>
      </c>
      <c r="O3" s="15">
        <v>0.15382799999999999</v>
      </c>
      <c r="P3" s="5" t="s">
        <v>12</v>
      </c>
      <c r="Q3" s="16" t="s">
        <v>19</v>
      </c>
      <c r="R3" s="16">
        <v>555</v>
      </c>
      <c r="S3" s="12">
        <v>0</v>
      </c>
      <c r="T3" s="12">
        <v>0</v>
      </c>
      <c r="U3" s="12">
        <v>880</v>
      </c>
      <c r="V3" s="12">
        <v>1624</v>
      </c>
      <c r="W3" s="12">
        <v>920</v>
      </c>
      <c r="X3" s="6">
        <f>SUM(T3,V3)</f>
        <v>1624</v>
      </c>
      <c r="Y3" s="6">
        <f>S3+U3</f>
        <v>880</v>
      </c>
      <c r="Z3" s="12">
        <f>SUM(S3,U3,W3)</f>
        <v>1800</v>
      </c>
      <c r="AA3" s="811">
        <v>0</v>
      </c>
      <c r="AB3" s="811" t="s">
        <v>1553</v>
      </c>
      <c r="AC3" s="836">
        <f t="shared" ref="AC3:AC66" si="2">AA3*T3</f>
        <v>0</v>
      </c>
      <c r="AD3" s="836">
        <v>0</v>
      </c>
      <c r="AE3" s="811">
        <v>0.9</v>
      </c>
      <c r="AF3" s="811">
        <v>0.186</v>
      </c>
      <c r="AG3" s="836">
        <f t="shared" ref="AG3:AG66" si="3">AE3*V3</f>
        <v>1461.6000000000001</v>
      </c>
      <c r="AH3" s="836">
        <f t="shared" ref="AH3:AH66" si="4">AF3*V3</f>
        <v>302.06400000000002</v>
      </c>
      <c r="AI3" s="794">
        <f t="shared" ref="AI3:AI66" si="5">SUM(AC3,AG3)</f>
        <v>1461.6000000000001</v>
      </c>
      <c r="AJ3" s="794">
        <f t="shared" ref="AJ3:AJ66" si="6">SUM(AD3,AH3)</f>
        <v>302.06400000000002</v>
      </c>
      <c r="AK3" s="8">
        <v>16752576</v>
      </c>
      <c r="AL3" s="8">
        <v>4098648</v>
      </c>
      <c r="AM3" s="9">
        <f t="shared" si="1"/>
        <v>20851224</v>
      </c>
      <c r="AN3" s="127">
        <v>561106</v>
      </c>
      <c r="AO3" s="77">
        <v>561106</v>
      </c>
      <c r="AP3" s="171">
        <v>0</v>
      </c>
      <c r="AQ3" s="614">
        <v>4097086</v>
      </c>
      <c r="AR3" s="614">
        <v>4469701</v>
      </c>
      <c r="AS3" s="614">
        <v>4482694</v>
      </c>
      <c r="AT3" s="614">
        <v>3703095</v>
      </c>
      <c r="AU3" s="614">
        <v>484076</v>
      </c>
      <c r="AV3" s="614">
        <v>561106.85</v>
      </c>
      <c r="AW3" s="776">
        <v>900380.71</v>
      </c>
      <c r="AX3" s="776">
        <v>0</v>
      </c>
      <c r="AY3" s="776">
        <v>900380</v>
      </c>
      <c r="AZ3" s="615">
        <v>2153084.4500000002</v>
      </c>
      <c r="BA3" s="668"/>
      <c r="BB3" s="668"/>
      <c r="BC3" s="668"/>
      <c r="BD3" s="668"/>
      <c r="BE3" s="668"/>
      <c r="BF3" s="198"/>
      <c r="BG3" s="198">
        <v>0</v>
      </c>
      <c r="BH3" s="184">
        <v>561106</v>
      </c>
      <c r="BI3" s="181">
        <v>561106</v>
      </c>
      <c r="BJ3" s="181">
        <f t="shared" ref="BJ3:BJ66" si="7">BG3+BH3</f>
        <v>561106</v>
      </c>
      <c r="BK3" s="11"/>
    </row>
    <row r="4" spans="1:63" s="10" customFormat="1" ht="194.45" customHeight="1" thickBot="1" x14ac:dyDescent="0.3">
      <c r="A4" s="1">
        <v>3</v>
      </c>
      <c r="B4" s="3" t="s">
        <v>20</v>
      </c>
      <c r="C4" s="3" t="s">
        <v>21</v>
      </c>
      <c r="D4" s="3" t="s">
        <v>339</v>
      </c>
      <c r="E4" s="3" t="s">
        <v>1226</v>
      </c>
      <c r="F4" s="12" t="s">
        <v>17</v>
      </c>
      <c r="G4" s="4" t="s">
        <v>24</v>
      </c>
      <c r="H4" s="613" t="s">
        <v>1338</v>
      </c>
      <c r="I4" s="2" t="s">
        <v>22</v>
      </c>
      <c r="J4" s="12" t="s">
        <v>1000</v>
      </c>
      <c r="K4" s="3" t="s">
        <v>23</v>
      </c>
      <c r="L4" s="3" t="s">
        <v>10</v>
      </c>
      <c r="M4" s="14" t="s">
        <v>25</v>
      </c>
      <c r="N4" s="6" t="s">
        <v>26</v>
      </c>
      <c r="O4" s="15" t="s">
        <v>27</v>
      </c>
      <c r="P4" s="17" t="s">
        <v>28</v>
      </c>
      <c r="Q4" s="18" t="s">
        <v>29</v>
      </c>
      <c r="R4" s="16">
        <v>0</v>
      </c>
      <c r="S4" s="3">
        <v>24</v>
      </c>
      <c r="T4" s="3">
        <v>26</v>
      </c>
      <c r="U4" s="3">
        <v>36</v>
      </c>
      <c r="V4" s="3">
        <v>36</v>
      </c>
      <c r="W4" s="3">
        <v>40</v>
      </c>
      <c r="X4" s="6">
        <f>SUM(T4,V4)</f>
        <v>62</v>
      </c>
      <c r="Y4" s="6">
        <f t="shared" ref="Y4:Y66" si="8">S4+U4</f>
        <v>60</v>
      </c>
      <c r="Z4" s="12">
        <f t="shared" si="0"/>
        <v>100</v>
      </c>
      <c r="AA4" s="811">
        <v>0.7</v>
      </c>
      <c r="AB4" s="811">
        <v>0.96</v>
      </c>
      <c r="AC4" s="836">
        <f t="shared" si="2"/>
        <v>18.2</v>
      </c>
      <c r="AD4" s="836">
        <f>AB4*T4</f>
        <v>24.96</v>
      </c>
      <c r="AE4" s="811">
        <v>1</v>
      </c>
      <c r="AF4" s="811">
        <v>1</v>
      </c>
      <c r="AG4" s="836">
        <f t="shared" si="3"/>
        <v>36</v>
      </c>
      <c r="AH4" s="836">
        <f t="shared" si="4"/>
        <v>36</v>
      </c>
      <c r="AI4" s="794">
        <f>SUM(AC4,AG4)</f>
        <v>54.2</v>
      </c>
      <c r="AJ4" s="794">
        <f t="shared" si="6"/>
        <v>60.96</v>
      </c>
      <c r="AK4" s="8">
        <v>9105687</v>
      </c>
      <c r="AL4" s="8">
        <v>1094934</v>
      </c>
      <c r="AM4" s="9">
        <f t="shared" si="1"/>
        <v>10200621</v>
      </c>
      <c r="AN4" s="758">
        <v>252328</v>
      </c>
      <c r="AO4" s="758">
        <v>252328</v>
      </c>
      <c r="AP4" s="762">
        <v>0</v>
      </c>
      <c r="AQ4" s="614">
        <v>2646583</v>
      </c>
      <c r="AR4" s="614">
        <v>2073996</v>
      </c>
      <c r="AS4" s="614">
        <v>2195800</v>
      </c>
      <c r="AT4" s="614">
        <v>2189308</v>
      </c>
      <c r="AU4" s="614">
        <v>0</v>
      </c>
      <c r="AV4" s="614">
        <v>252328.24</v>
      </c>
      <c r="AW4" s="776">
        <v>267639.8</v>
      </c>
      <c r="AX4" s="776">
        <v>267640</v>
      </c>
      <c r="AY4" s="776">
        <v>0</v>
      </c>
      <c r="AZ4" s="615">
        <v>574966.16</v>
      </c>
      <c r="BA4" s="668"/>
      <c r="BB4" s="668"/>
      <c r="BC4" s="668"/>
      <c r="BD4" s="668"/>
      <c r="BE4" s="668"/>
      <c r="BF4" s="199"/>
      <c r="BG4" s="199">
        <v>0</v>
      </c>
      <c r="BH4" s="203">
        <f>126164*2</f>
        <v>252328</v>
      </c>
      <c r="BI4" s="11">
        <f>126164*2</f>
        <v>252328</v>
      </c>
      <c r="BJ4" s="181">
        <f t="shared" si="7"/>
        <v>252328</v>
      </c>
      <c r="BK4" s="11"/>
    </row>
    <row r="5" spans="1:63" s="10" customFormat="1" ht="107.45" customHeight="1" thickBot="1" x14ac:dyDescent="0.3">
      <c r="A5" s="210">
        <v>4</v>
      </c>
      <c r="B5" s="211" t="s">
        <v>20</v>
      </c>
      <c r="C5" s="211" t="s">
        <v>30</v>
      </c>
      <c r="D5" s="211" t="s">
        <v>339</v>
      </c>
      <c r="E5" s="211" t="s">
        <v>1227</v>
      </c>
      <c r="F5" s="212" t="s">
        <v>8</v>
      </c>
      <c r="G5" s="213" t="s">
        <v>33</v>
      </c>
      <c r="H5" s="617" t="s">
        <v>1339</v>
      </c>
      <c r="I5" s="214" t="s">
        <v>31</v>
      </c>
      <c r="J5" s="212" t="s">
        <v>992</v>
      </c>
      <c r="K5" s="211" t="s">
        <v>32</v>
      </c>
      <c r="L5" s="211" t="s">
        <v>10</v>
      </c>
      <c r="M5" s="212">
        <v>166</v>
      </c>
      <c r="N5" s="212">
        <v>59</v>
      </c>
      <c r="O5" s="734">
        <v>0.35542200000000002</v>
      </c>
      <c r="P5" s="218" t="s">
        <v>28</v>
      </c>
      <c r="Q5" s="824" t="s">
        <v>36</v>
      </c>
      <c r="R5" s="219">
        <v>0</v>
      </c>
      <c r="S5" s="212">
        <v>600</v>
      </c>
      <c r="T5" s="222">
        <v>601</v>
      </c>
      <c r="U5" s="740">
        <v>624</v>
      </c>
      <c r="V5" s="740">
        <v>264</v>
      </c>
      <c r="W5" s="740">
        <v>648</v>
      </c>
      <c r="X5" s="6">
        <f t="shared" ref="X5:X66" si="9">SUM(T5,V5)</f>
        <v>865</v>
      </c>
      <c r="Y5" s="6">
        <f t="shared" si="8"/>
        <v>1224</v>
      </c>
      <c r="Z5" s="12">
        <f t="shared" si="0"/>
        <v>1872</v>
      </c>
      <c r="AA5" s="812">
        <v>1</v>
      </c>
      <c r="AB5" s="812">
        <v>1</v>
      </c>
      <c r="AC5" s="836">
        <f t="shared" si="2"/>
        <v>601</v>
      </c>
      <c r="AD5" s="836">
        <f>AB5*T5</f>
        <v>601</v>
      </c>
      <c r="AE5" s="812">
        <v>1</v>
      </c>
      <c r="AF5" s="812">
        <v>1</v>
      </c>
      <c r="AG5" s="836">
        <f t="shared" si="3"/>
        <v>264</v>
      </c>
      <c r="AH5" s="836">
        <f t="shared" si="4"/>
        <v>264</v>
      </c>
      <c r="AI5" s="794">
        <f t="shared" si="5"/>
        <v>865</v>
      </c>
      <c r="AJ5" s="794">
        <f t="shared" si="6"/>
        <v>865</v>
      </c>
      <c r="AK5" s="220">
        <v>11976097</v>
      </c>
      <c r="AL5" s="220">
        <v>1439771</v>
      </c>
      <c r="AM5" s="221">
        <f t="shared" si="1"/>
        <v>13415868</v>
      </c>
      <c r="AN5" s="714">
        <v>331796</v>
      </c>
      <c r="AO5" s="760">
        <v>331796</v>
      </c>
      <c r="AP5" s="598">
        <v>0</v>
      </c>
      <c r="AQ5" s="618">
        <v>1770942</v>
      </c>
      <c r="AR5" s="618">
        <v>3344858</v>
      </c>
      <c r="AS5" s="618">
        <v>3521362</v>
      </c>
      <c r="AT5" s="618">
        <v>3338935</v>
      </c>
      <c r="AU5" s="621">
        <v>0</v>
      </c>
      <c r="AV5" s="616">
        <v>331796.21999999997</v>
      </c>
      <c r="AW5" s="776">
        <v>351929.99</v>
      </c>
      <c r="AX5" s="776">
        <v>285943</v>
      </c>
      <c r="AY5" s="776">
        <v>65986</v>
      </c>
      <c r="AZ5" s="615">
        <v>756045.35</v>
      </c>
      <c r="BA5" s="668"/>
      <c r="BB5" s="668"/>
      <c r="BC5" s="668"/>
      <c r="BD5" s="668"/>
      <c r="BE5" s="668"/>
      <c r="BF5" s="200"/>
      <c r="BG5" s="200">
        <v>0</v>
      </c>
      <c r="BH5" s="200">
        <v>331796</v>
      </c>
      <c r="BI5" s="186">
        <v>331796</v>
      </c>
      <c r="BJ5" s="181">
        <f t="shared" si="7"/>
        <v>331796</v>
      </c>
      <c r="BK5" s="11"/>
    </row>
    <row r="6" spans="1:63" s="10" customFormat="1" ht="180.95" customHeight="1" thickBot="1" x14ac:dyDescent="0.3">
      <c r="A6" s="1">
        <v>5</v>
      </c>
      <c r="B6" s="3" t="s">
        <v>20</v>
      </c>
      <c r="C6" s="3" t="s">
        <v>37</v>
      </c>
      <c r="D6" s="3" t="s">
        <v>339</v>
      </c>
      <c r="E6" s="3" t="s">
        <v>1228</v>
      </c>
      <c r="F6" s="12" t="s">
        <v>17</v>
      </c>
      <c r="G6" s="4" t="s">
        <v>40</v>
      </c>
      <c r="H6" s="613" t="s">
        <v>1340</v>
      </c>
      <c r="I6" s="2" t="s">
        <v>38</v>
      </c>
      <c r="J6" s="12" t="s">
        <v>1000</v>
      </c>
      <c r="K6" s="14" t="s">
        <v>39</v>
      </c>
      <c r="L6" s="3" t="s">
        <v>10</v>
      </c>
      <c r="M6" s="14">
        <v>81</v>
      </c>
      <c r="N6" s="6">
        <v>7872</v>
      </c>
      <c r="O6" s="15">
        <v>97.185190000000006</v>
      </c>
      <c r="P6" s="17" t="s">
        <v>12</v>
      </c>
      <c r="Q6" s="600" t="s">
        <v>41</v>
      </c>
      <c r="R6" s="16">
        <v>0</v>
      </c>
      <c r="S6" s="3">
        <v>3600</v>
      </c>
      <c r="T6" s="3">
        <v>3600</v>
      </c>
      <c r="U6" s="3">
        <v>3000</v>
      </c>
      <c r="V6" s="3">
        <v>3785</v>
      </c>
      <c r="W6" s="12">
        <v>4500</v>
      </c>
      <c r="X6" s="6">
        <f t="shared" si="9"/>
        <v>7385</v>
      </c>
      <c r="Y6" s="6">
        <f t="shared" si="8"/>
        <v>6600</v>
      </c>
      <c r="Z6" s="12">
        <f t="shared" si="0"/>
        <v>11100</v>
      </c>
      <c r="AA6" s="811">
        <v>0.55000000000000004</v>
      </c>
      <c r="AB6" s="811">
        <v>0.57000000000000006</v>
      </c>
      <c r="AC6" s="836">
        <f t="shared" si="2"/>
        <v>1980.0000000000002</v>
      </c>
      <c r="AD6" s="836">
        <f>AB6*T6</f>
        <v>2052</v>
      </c>
      <c r="AE6" s="811">
        <v>0.8</v>
      </c>
      <c r="AF6" s="811">
        <v>0.89170000000000005</v>
      </c>
      <c r="AG6" s="836">
        <f t="shared" si="3"/>
        <v>3028</v>
      </c>
      <c r="AH6" s="836">
        <f t="shared" si="4"/>
        <v>3375.0845000000004</v>
      </c>
      <c r="AI6" s="794">
        <f t="shared" si="5"/>
        <v>5008</v>
      </c>
      <c r="AJ6" s="794">
        <f t="shared" si="6"/>
        <v>5427.0845000000008</v>
      </c>
      <c r="AK6" s="8">
        <v>4220390</v>
      </c>
      <c r="AL6" s="709">
        <v>510999</v>
      </c>
      <c r="AM6" s="9">
        <f t="shared" si="1"/>
        <v>4731389</v>
      </c>
      <c r="AN6" s="127">
        <v>117760</v>
      </c>
      <c r="AO6" s="77">
        <v>117760</v>
      </c>
      <c r="AP6" s="171">
        <v>0</v>
      </c>
      <c r="AQ6" s="614">
        <v>974511</v>
      </c>
      <c r="AR6" s="614">
        <v>1039018</v>
      </c>
      <c r="AS6" s="614">
        <v>1124364</v>
      </c>
      <c r="AT6" s="614">
        <v>1082497</v>
      </c>
      <c r="AU6" s="614">
        <v>0</v>
      </c>
      <c r="AV6" s="614">
        <v>117759.81</v>
      </c>
      <c r="AW6" s="776">
        <v>124905.61</v>
      </c>
      <c r="AX6" s="776">
        <v>124906</v>
      </c>
      <c r="AY6" s="776">
        <v>0</v>
      </c>
      <c r="AZ6" s="615">
        <v>268332.64</v>
      </c>
      <c r="BA6" s="668"/>
      <c r="BB6" s="668"/>
      <c r="BC6" s="668"/>
      <c r="BD6" s="668"/>
      <c r="BE6" s="668"/>
      <c r="BF6" s="184"/>
      <c r="BG6" s="184">
        <v>0</v>
      </c>
      <c r="BH6" s="184">
        <v>117760</v>
      </c>
      <c r="BI6" s="181">
        <v>117760</v>
      </c>
      <c r="BJ6" s="181">
        <f t="shared" si="7"/>
        <v>117760</v>
      </c>
      <c r="BK6" s="11"/>
    </row>
    <row r="7" spans="1:63" s="10" customFormat="1" ht="211.5" customHeight="1" thickBot="1" x14ac:dyDescent="0.3">
      <c r="A7" s="1">
        <v>6</v>
      </c>
      <c r="B7" s="2" t="s">
        <v>20</v>
      </c>
      <c r="C7" s="3" t="s">
        <v>42</v>
      </c>
      <c r="D7" s="3" t="s">
        <v>339</v>
      </c>
      <c r="E7" s="3" t="s">
        <v>1229</v>
      </c>
      <c r="F7" s="12" t="s">
        <v>8</v>
      </c>
      <c r="G7" s="4" t="s">
        <v>46</v>
      </c>
      <c r="H7" s="613" t="s">
        <v>1341</v>
      </c>
      <c r="I7" s="2" t="s">
        <v>43</v>
      </c>
      <c r="J7" s="12" t="s">
        <v>1000</v>
      </c>
      <c r="K7" s="3" t="s">
        <v>44</v>
      </c>
      <c r="L7" s="3" t="s">
        <v>10</v>
      </c>
      <c r="M7" s="14">
        <v>155</v>
      </c>
      <c r="N7" s="6">
        <v>8892</v>
      </c>
      <c r="O7" s="15">
        <v>57.367739999999998</v>
      </c>
      <c r="P7" s="17" t="s">
        <v>28</v>
      </c>
      <c r="Q7" s="16" t="s">
        <v>47</v>
      </c>
      <c r="R7" s="16">
        <v>0</v>
      </c>
      <c r="S7" s="12">
        <v>150</v>
      </c>
      <c r="T7" s="12">
        <v>155</v>
      </c>
      <c r="U7" s="12">
        <v>180</v>
      </c>
      <c r="V7" s="12">
        <v>182</v>
      </c>
      <c r="W7" s="12">
        <v>225</v>
      </c>
      <c r="X7" s="6">
        <f t="shared" si="9"/>
        <v>337</v>
      </c>
      <c r="Y7" s="6">
        <f t="shared" si="8"/>
        <v>330</v>
      </c>
      <c r="Z7" s="12">
        <f t="shared" si="0"/>
        <v>555</v>
      </c>
      <c r="AA7" s="811">
        <v>0.9</v>
      </c>
      <c r="AB7" s="811">
        <v>0.9</v>
      </c>
      <c r="AC7" s="836">
        <f t="shared" si="2"/>
        <v>139.5</v>
      </c>
      <c r="AD7" s="836">
        <f>AB7*T7</f>
        <v>139.5</v>
      </c>
      <c r="AE7" s="811">
        <v>1</v>
      </c>
      <c r="AF7" s="811">
        <v>1</v>
      </c>
      <c r="AG7" s="836">
        <f t="shared" si="3"/>
        <v>182</v>
      </c>
      <c r="AH7" s="836">
        <f t="shared" si="4"/>
        <v>182</v>
      </c>
      <c r="AI7" s="794">
        <f t="shared" si="5"/>
        <v>321.5</v>
      </c>
      <c r="AJ7" s="794">
        <f t="shared" si="6"/>
        <v>321.5</v>
      </c>
      <c r="AK7" s="8">
        <v>5574005</v>
      </c>
      <c r="AL7" s="9">
        <v>670253</v>
      </c>
      <c r="AM7" s="9">
        <f t="shared" si="1"/>
        <v>6244258</v>
      </c>
      <c r="AN7" s="127">
        <v>154460</v>
      </c>
      <c r="AO7" s="77">
        <v>154460</v>
      </c>
      <c r="AP7" s="171">
        <v>0</v>
      </c>
      <c r="AQ7" s="614">
        <v>1873007</v>
      </c>
      <c r="AR7" s="614">
        <v>1143455</v>
      </c>
      <c r="AS7" s="614">
        <v>1302989</v>
      </c>
      <c r="AT7" s="614">
        <v>1254554</v>
      </c>
      <c r="AU7" s="614">
        <v>0</v>
      </c>
      <c r="AV7" s="614">
        <v>154460.29</v>
      </c>
      <c r="AW7" s="777">
        <v>163833.10999999999</v>
      </c>
      <c r="AX7" s="776">
        <v>163833</v>
      </c>
      <c r="AY7" s="776">
        <v>0</v>
      </c>
      <c r="AZ7" s="615">
        <v>351959.96</v>
      </c>
      <c r="BA7" s="668"/>
      <c r="BB7" s="668"/>
      <c r="BC7" s="668"/>
      <c r="BD7" s="668"/>
      <c r="BE7" s="668"/>
      <c r="BF7" s="184"/>
      <c r="BG7" s="184">
        <v>0</v>
      </c>
      <c r="BH7" s="184">
        <v>154460</v>
      </c>
      <c r="BI7" s="181">
        <v>154460</v>
      </c>
      <c r="BJ7" s="181">
        <f t="shared" si="7"/>
        <v>154460</v>
      </c>
      <c r="BK7" s="11"/>
    </row>
    <row r="8" spans="1:63" s="10" customFormat="1" ht="285.75" thickBot="1" x14ac:dyDescent="0.3">
      <c r="A8" s="1">
        <v>7</v>
      </c>
      <c r="B8" s="3" t="s">
        <v>48</v>
      </c>
      <c r="C8" s="3" t="s">
        <v>49</v>
      </c>
      <c r="D8" s="3" t="s">
        <v>339</v>
      </c>
      <c r="E8" s="2" t="s">
        <v>1230</v>
      </c>
      <c r="F8" s="16" t="s">
        <v>51</v>
      </c>
      <c r="G8" s="4" t="s">
        <v>1335</v>
      </c>
      <c r="H8" s="4" t="s">
        <v>1342</v>
      </c>
      <c r="I8" s="2" t="s">
        <v>50</v>
      </c>
      <c r="J8" s="12" t="s">
        <v>1000</v>
      </c>
      <c r="K8" s="2" t="s">
        <v>52</v>
      </c>
      <c r="L8" s="3" t="s">
        <v>10</v>
      </c>
      <c r="M8" s="44" t="s">
        <v>34</v>
      </c>
      <c r="N8" s="20" t="s">
        <v>34</v>
      </c>
      <c r="O8" s="20" t="s">
        <v>34</v>
      </c>
      <c r="P8" s="14" t="s">
        <v>189</v>
      </c>
      <c r="Q8" s="3" t="s">
        <v>54</v>
      </c>
      <c r="R8" s="3">
        <v>0</v>
      </c>
      <c r="S8" s="793">
        <v>0</v>
      </c>
      <c r="T8" s="791">
        <v>0</v>
      </c>
      <c r="U8" s="12">
        <v>150</v>
      </c>
      <c r="V8" s="12">
        <v>282</v>
      </c>
      <c r="W8" s="12">
        <v>158</v>
      </c>
      <c r="X8" s="6">
        <f t="shared" si="9"/>
        <v>282</v>
      </c>
      <c r="Y8" s="6">
        <f t="shared" si="8"/>
        <v>150</v>
      </c>
      <c r="Z8" s="12">
        <f t="shared" si="0"/>
        <v>308</v>
      </c>
      <c r="AA8" s="811">
        <v>0</v>
      </c>
      <c r="AB8" s="811" t="s">
        <v>1553</v>
      </c>
      <c r="AC8" s="836">
        <f t="shared" si="2"/>
        <v>0</v>
      </c>
      <c r="AD8" s="836">
        <v>0</v>
      </c>
      <c r="AE8" s="811">
        <v>1</v>
      </c>
      <c r="AF8" s="811">
        <v>1</v>
      </c>
      <c r="AG8" s="836">
        <f t="shared" si="3"/>
        <v>282</v>
      </c>
      <c r="AH8" s="836">
        <f t="shared" si="4"/>
        <v>282</v>
      </c>
      <c r="AI8" s="794">
        <f t="shared" si="5"/>
        <v>282</v>
      </c>
      <c r="AJ8" s="794">
        <f t="shared" si="6"/>
        <v>282</v>
      </c>
      <c r="AK8" s="8">
        <v>3400000</v>
      </c>
      <c r="AL8" s="9">
        <v>599904</v>
      </c>
      <c r="AM8" s="9">
        <f t="shared" si="1"/>
        <v>3999904</v>
      </c>
      <c r="AN8" s="123">
        <v>69124</v>
      </c>
      <c r="AO8" s="77">
        <v>138248</v>
      </c>
      <c r="AP8" s="171">
        <v>69124</v>
      </c>
      <c r="AQ8" s="171" t="s">
        <v>1336</v>
      </c>
      <c r="AR8" s="620">
        <v>850000</v>
      </c>
      <c r="AS8" s="620">
        <v>1350000</v>
      </c>
      <c r="AT8" s="620">
        <v>1200000</v>
      </c>
      <c r="AU8" s="768" t="s">
        <v>1336</v>
      </c>
      <c r="AV8" s="620">
        <v>138248.43</v>
      </c>
      <c r="AW8" s="778">
        <v>146637.49</v>
      </c>
      <c r="AX8" s="778">
        <v>146637</v>
      </c>
      <c r="AY8" s="778">
        <v>0</v>
      </c>
      <c r="AZ8" s="622">
        <v>315018.90000000002</v>
      </c>
      <c r="BA8" s="669"/>
      <c r="BB8" s="669"/>
      <c r="BC8" s="669"/>
      <c r="BD8" s="669"/>
      <c r="BE8" s="669"/>
      <c r="BF8" s="184"/>
      <c r="BG8" s="184">
        <v>0</v>
      </c>
      <c r="BH8" s="245">
        <v>69124</v>
      </c>
      <c r="BI8" s="245">
        <v>138248</v>
      </c>
      <c r="BJ8" s="245">
        <f>BG8+BH8</f>
        <v>69124</v>
      </c>
      <c r="BK8" s="11"/>
    </row>
    <row r="9" spans="1:63" s="24" customFormat="1" ht="92.45" customHeight="1" thickBot="1" x14ac:dyDescent="0.3">
      <c r="A9" s="21">
        <v>8</v>
      </c>
      <c r="B9" s="3" t="s">
        <v>55</v>
      </c>
      <c r="C9" s="3" t="s">
        <v>56</v>
      </c>
      <c r="D9" s="3" t="s">
        <v>339</v>
      </c>
      <c r="E9" s="44" t="s">
        <v>1227</v>
      </c>
      <c r="F9" s="3" t="s">
        <v>8</v>
      </c>
      <c r="G9" s="13" t="s">
        <v>59</v>
      </c>
      <c r="H9" s="613" t="s">
        <v>1343</v>
      </c>
      <c r="I9" s="2" t="s">
        <v>57</v>
      </c>
      <c r="J9" s="44" t="s">
        <v>992</v>
      </c>
      <c r="K9" s="3" t="s">
        <v>58</v>
      </c>
      <c r="L9" s="3" t="s">
        <v>10</v>
      </c>
      <c r="M9" s="3">
        <v>67</v>
      </c>
      <c r="N9" s="14">
        <v>6</v>
      </c>
      <c r="O9" s="15">
        <v>8.9552000000000007E-2</v>
      </c>
      <c r="P9" s="14" t="s">
        <v>111</v>
      </c>
      <c r="Q9" s="6">
        <v>6</v>
      </c>
      <c r="R9" s="797">
        <v>0</v>
      </c>
      <c r="S9" s="791">
        <v>6000</v>
      </c>
      <c r="T9" s="791">
        <v>6458</v>
      </c>
      <c r="U9" s="21">
        <v>6000</v>
      </c>
      <c r="V9" s="21">
        <v>6615</v>
      </c>
      <c r="W9" s="21">
        <v>6458</v>
      </c>
      <c r="X9" s="6">
        <f t="shared" si="9"/>
        <v>13073</v>
      </c>
      <c r="Y9" s="6">
        <f t="shared" si="8"/>
        <v>12000</v>
      </c>
      <c r="Z9" s="12">
        <f t="shared" si="0"/>
        <v>18458</v>
      </c>
      <c r="AA9" s="811">
        <v>0.75</v>
      </c>
      <c r="AB9" s="811">
        <v>0.43779999999999997</v>
      </c>
      <c r="AC9" s="836">
        <f t="shared" si="2"/>
        <v>4843.5</v>
      </c>
      <c r="AD9" s="836">
        <f>AB9*T9</f>
        <v>2827.3123999999998</v>
      </c>
      <c r="AE9" s="811">
        <v>0.75</v>
      </c>
      <c r="AF9" s="811">
        <v>0.55349999999999999</v>
      </c>
      <c r="AG9" s="836">
        <f t="shared" si="3"/>
        <v>4961.25</v>
      </c>
      <c r="AH9" s="836">
        <f t="shared" si="4"/>
        <v>3661.4025000000001</v>
      </c>
      <c r="AI9" s="794">
        <f t="shared" si="5"/>
        <v>9804.75</v>
      </c>
      <c r="AJ9" s="794">
        <f t="shared" si="6"/>
        <v>6488.7148999999999</v>
      </c>
      <c r="AK9" s="22">
        <v>7710356.6600000001</v>
      </c>
      <c r="AL9" s="23">
        <v>976768</v>
      </c>
      <c r="AM9" s="9">
        <f t="shared" si="1"/>
        <v>8687124.6600000001</v>
      </c>
      <c r="AN9" s="49">
        <v>204000</v>
      </c>
      <c r="AO9" s="158">
        <v>204000</v>
      </c>
      <c r="AP9" s="594">
        <v>0</v>
      </c>
      <c r="AQ9" s="614">
        <v>1741119.9533240399</v>
      </c>
      <c r="AR9" s="614">
        <v>1929709.11</v>
      </c>
      <c r="AS9" s="616">
        <v>2054261.86</v>
      </c>
      <c r="AT9" s="616">
        <v>1985265.74</v>
      </c>
      <c r="AU9" s="616">
        <v>91637.892280212502</v>
      </c>
      <c r="AV9" s="616">
        <v>204000.42</v>
      </c>
      <c r="AW9" s="776">
        <v>108058</v>
      </c>
      <c r="AX9" s="776">
        <v>108058</v>
      </c>
      <c r="AY9" s="776">
        <v>0</v>
      </c>
      <c r="AZ9" s="615">
        <v>465014.35</v>
      </c>
      <c r="BA9" s="668"/>
      <c r="BB9" s="668"/>
      <c r="BC9" s="668"/>
      <c r="BD9" s="668"/>
      <c r="BE9" s="668"/>
      <c r="BF9" s="182"/>
      <c r="BG9" s="182">
        <v>0</v>
      </c>
      <c r="BH9" s="182">
        <v>204000</v>
      </c>
      <c r="BI9" s="179">
        <v>204000</v>
      </c>
      <c r="BJ9" s="181">
        <f>BG9+BH9</f>
        <v>204000</v>
      </c>
      <c r="BK9" s="11"/>
    </row>
    <row r="10" spans="1:63" s="24" customFormat="1" ht="123.6" customHeight="1" thickBot="1" x14ac:dyDescent="0.3">
      <c r="A10" s="210">
        <v>9</v>
      </c>
      <c r="B10" s="211" t="s">
        <v>55</v>
      </c>
      <c r="C10" s="724" t="s">
        <v>60</v>
      </c>
      <c r="D10" s="627" t="s">
        <v>339</v>
      </c>
      <c r="E10" s="627" t="s">
        <v>1229</v>
      </c>
      <c r="F10" s="700" t="s">
        <v>51</v>
      </c>
      <c r="G10" s="213" t="s">
        <v>64</v>
      </c>
      <c r="H10" s="617" t="s">
        <v>1344</v>
      </c>
      <c r="I10" s="727" t="s">
        <v>61</v>
      </c>
      <c r="J10" s="211" t="s">
        <v>1001</v>
      </c>
      <c r="K10" s="211" t="s">
        <v>62</v>
      </c>
      <c r="L10" s="211" t="s">
        <v>10</v>
      </c>
      <c r="M10" s="211" t="s">
        <v>65</v>
      </c>
      <c r="N10" s="215" t="s">
        <v>66</v>
      </c>
      <c r="O10" s="215" t="s">
        <v>67</v>
      </c>
      <c r="P10" s="215" t="s">
        <v>189</v>
      </c>
      <c r="Q10" s="216">
        <v>6192</v>
      </c>
      <c r="R10" s="798">
        <v>0</v>
      </c>
      <c r="S10" s="792">
        <v>150</v>
      </c>
      <c r="T10" s="792">
        <v>154</v>
      </c>
      <c r="U10" s="212">
        <v>180</v>
      </c>
      <c r="V10" s="212">
        <v>226</v>
      </c>
      <c r="W10" s="212">
        <v>200</v>
      </c>
      <c r="X10" s="6">
        <f t="shared" si="9"/>
        <v>380</v>
      </c>
      <c r="Y10" s="6">
        <f t="shared" si="8"/>
        <v>330</v>
      </c>
      <c r="Z10" s="12">
        <f t="shared" si="0"/>
        <v>530</v>
      </c>
      <c r="AA10" s="812">
        <v>1</v>
      </c>
      <c r="AB10" s="812">
        <v>0.87660000000000005</v>
      </c>
      <c r="AC10" s="836">
        <f t="shared" si="2"/>
        <v>154</v>
      </c>
      <c r="AD10" s="836">
        <f>AB10*T10</f>
        <v>134.99639999999999</v>
      </c>
      <c r="AE10" s="812">
        <v>1</v>
      </c>
      <c r="AF10" s="812">
        <v>0.73009999999999997</v>
      </c>
      <c r="AG10" s="836">
        <f t="shared" si="3"/>
        <v>226</v>
      </c>
      <c r="AH10" s="836">
        <f t="shared" si="4"/>
        <v>165.0026</v>
      </c>
      <c r="AI10" s="794">
        <f t="shared" si="5"/>
        <v>380</v>
      </c>
      <c r="AJ10" s="794">
        <f t="shared" si="6"/>
        <v>299.99900000000002</v>
      </c>
      <c r="AK10" s="220">
        <v>10911392.15</v>
      </c>
      <c r="AL10" s="713">
        <v>1387366</v>
      </c>
      <c r="AM10" s="221">
        <f t="shared" si="1"/>
        <v>12298758.15</v>
      </c>
      <c r="AN10" s="682">
        <v>290380</v>
      </c>
      <c r="AO10" s="761">
        <v>290380</v>
      </c>
      <c r="AP10" s="763">
        <v>0</v>
      </c>
      <c r="AQ10" s="618">
        <v>2421480.4312449102</v>
      </c>
      <c r="AR10" s="618">
        <v>2717654.35</v>
      </c>
      <c r="AS10" s="618">
        <v>2940882.91</v>
      </c>
      <c r="AT10" s="618">
        <v>2831374.45</v>
      </c>
      <c r="AU10" s="618">
        <v>127446.33848657446</v>
      </c>
      <c r="AV10" s="618">
        <v>290379.84999999998</v>
      </c>
      <c r="AW10" s="779">
        <v>256355</v>
      </c>
      <c r="AX10" s="776">
        <v>256355</v>
      </c>
      <c r="AY10" s="776">
        <v>0</v>
      </c>
      <c r="AZ10" s="615">
        <v>661914.31999999995</v>
      </c>
      <c r="BA10" s="668"/>
      <c r="BB10" s="668"/>
      <c r="BC10" s="668"/>
      <c r="BD10" s="668"/>
      <c r="BE10" s="668"/>
      <c r="BF10" s="201"/>
      <c r="BG10" s="201">
        <v>0</v>
      </c>
      <c r="BH10" s="201">
        <f>217785+72595</f>
        <v>290380</v>
      </c>
      <c r="BI10" s="19">
        <f>217785+72595</f>
        <v>290380</v>
      </c>
      <c r="BJ10" s="181">
        <f t="shared" si="7"/>
        <v>290380</v>
      </c>
      <c r="BK10" s="11"/>
    </row>
    <row r="11" spans="1:63" s="10" customFormat="1" ht="210.75" thickBot="1" x14ac:dyDescent="0.3">
      <c r="A11" s="1">
        <v>10</v>
      </c>
      <c r="B11" s="4" t="s">
        <v>68</v>
      </c>
      <c r="C11" s="3" t="s">
        <v>69</v>
      </c>
      <c r="D11" s="3" t="s">
        <v>339</v>
      </c>
      <c r="E11" s="3" t="s">
        <v>1230</v>
      </c>
      <c r="F11" s="3" t="s">
        <v>51</v>
      </c>
      <c r="G11" s="4" t="s">
        <v>72</v>
      </c>
      <c r="H11" s="613" t="s">
        <v>1345</v>
      </c>
      <c r="I11" s="2" t="s">
        <v>70</v>
      </c>
      <c r="J11" s="3" t="s">
        <v>1000</v>
      </c>
      <c r="K11" s="3" t="s">
        <v>71</v>
      </c>
      <c r="L11" s="3" t="s">
        <v>10</v>
      </c>
      <c r="M11" s="25">
        <v>199</v>
      </c>
      <c r="N11" s="25">
        <v>124</v>
      </c>
      <c r="O11" s="25">
        <v>0.623116</v>
      </c>
      <c r="P11" s="17" t="s">
        <v>189</v>
      </c>
      <c r="Q11" s="12">
        <v>124</v>
      </c>
      <c r="R11" s="16">
        <v>0</v>
      </c>
      <c r="S11" s="16">
        <v>10</v>
      </c>
      <c r="T11" s="16">
        <v>10</v>
      </c>
      <c r="U11" s="21">
        <v>15</v>
      </c>
      <c r="V11" s="21">
        <v>3</v>
      </c>
      <c r="W11" s="21">
        <v>20</v>
      </c>
      <c r="X11" s="6">
        <f t="shared" si="9"/>
        <v>13</v>
      </c>
      <c r="Y11" s="6">
        <f t="shared" si="8"/>
        <v>25</v>
      </c>
      <c r="Z11" s="12">
        <f t="shared" si="0"/>
        <v>45</v>
      </c>
      <c r="AA11" s="811">
        <v>0.85</v>
      </c>
      <c r="AB11" s="811">
        <v>0.89999999999999991</v>
      </c>
      <c r="AC11" s="836">
        <f t="shared" si="2"/>
        <v>8.5</v>
      </c>
      <c r="AD11" s="836">
        <f>AB11*T11</f>
        <v>9</v>
      </c>
      <c r="AE11" s="811">
        <v>0.85</v>
      </c>
      <c r="AF11" s="811">
        <v>1</v>
      </c>
      <c r="AG11" s="836">
        <f t="shared" si="3"/>
        <v>2.5499999999999998</v>
      </c>
      <c r="AH11" s="836">
        <f t="shared" si="4"/>
        <v>3</v>
      </c>
      <c r="AI11" s="794">
        <f t="shared" si="5"/>
        <v>11.05</v>
      </c>
      <c r="AJ11" s="794">
        <f t="shared" si="6"/>
        <v>12</v>
      </c>
      <c r="AK11" s="8">
        <v>1178561</v>
      </c>
      <c r="AL11" s="9">
        <v>138764</v>
      </c>
      <c r="AM11" s="9">
        <f t="shared" si="1"/>
        <v>1317325</v>
      </c>
      <c r="AN11" s="127">
        <v>28340</v>
      </c>
      <c r="AO11" s="77">
        <v>28340</v>
      </c>
      <c r="AP11" s="171">
        <v>0</v>
      </c>
      <c r="AQ11" s="614">
        <v>267378</v>
      </c>
      <c r="AR11" s="614">
        <v>293611</v>
      </c>
      <c r="AS11" s="614">
        <v>314096</v>
      </c>
      <c r="AT11" s="614">
        <v>303476</v>
      </c>
      <c r="AU11" s="614">
        <v>14073</v>
      </c>
      <c r="AV11" s="616">
        <v>28341</v>
      </c>
      <c r="AW11" s="779">
        <v>30366.75</v>
      </c>
      <c r="AX11" s="780">
        <v>0</v>
      </c>
      <c r="AY11" s="780">
        <v>30367</v>
      </c>
      <c r="AZ11" s="615">
        <v>65982.75</v>
      </c>
      <c r="BA11" s="668"/>
      <c r="BB11" s="668"/>
      <c r="BC11" s="668"/>
      <c r="BD11" s="668"/>
      <c r="BE11" s="668"/>
      <c r="BF11" s="634"/>
      <c r="BG11" s="184">
        <v>0</v>
      </c>
      <c r="BH11" s="184">
        <v>28340</v>
      </c>
      <c r="BI11" s="181">
        <v>28340</v>
      </c>
      <c r="BJ11" s="181">
        <f t="shared" si="7"/>
        <v>28340</v>
      </c>
      <c r="BK11" s="11"/>
    </row>
    <row r="12" spans="1:63" s="10" customFormat="1" ht="138.6" customHeight="1" thickBot="1" x14ac:dyDescent="0.3">
      <c r="A12" s="1">
        <v>11</v>
      </c>
      <c r="B12" s="2" t="s">
        <v>68</v>
      </c>
      <c r="C12" s="3" t="s">
        <v>73</v>
      </c>
      <c r="D12" s="3" t="s">
        <v>339</v>
      </c>
      <c r="E12" s="3" t="s">
        <v>1231</v>
      </c>
      <c r="F12" s="3" t="s">
        <v>75</v>
      </c>
      <c r="G12" s="4" t="s">
        <v>77</v>
      </c>
      <c r="H12" s="613" t="s">
        <v>1346</v>
      </c>
      <c r="I12" s="2" t="s">
        <v>74</v>
      </c>
      <c r="J12" s="3" t="s">
        <v>993</v>
      </c>
      <c r="K12" s="3" t="s">
        <v>76</v>
      </c>
      <c r="L12" s="3" t="s">
        <v>10</v>
      </c>
      <c r="M12" s="14">
        <v>16</v>
      </c>
      <c r="N12" s="6">
        <v>420</v>
      </c>
      <c r="O12" s="15">
        <v>26.25</v>
      </c>
      <c r="P12" s="17" t="s">
        <v>28</v>
      </c>
      <c r="Q12" s="16" t="s">
        <v>78</v>
      </c>
      <c r="R12" s="16">
        <v>0</v>
      </c>
      <c r="S12" s="12">
        <v>0</v>
      </c>
      <c r="T12" s="12">
        <v>0</v>
      </c>
      <c r="U12" s="12">
        <v>10</v>
      </c>
      <c r="V12" s="12">
        <v>11</v>
      </c>
      <c r="W12" s="12">
        <v>12</v>
      </c>
      <c r="X12" s="6">
        <f t="shared" si="9"/>
        <v>11</v>
      </c>
      <c r="Y12" s="6">
        <f t="shared" si="8"/>
        <v>10</v>
      </c>
      <c r="Z12" s="12">
        <f t="shared" si="0"/>
        <v>22</v>
      </c>
      <c r="AA12" s="811">
        <v>0</v>
      </c>
      <c r="AB12" s="811" t="s">
        <v>1553</v>
      </c>
      <c r="AC12" s="836">
        <f t="shared" si="2"/>
        <v>0</v>
      </c>
      <c r="AD12" s="836">
        <v>0</v>
      </c>
      <c r="AE12" s="811">
        <v>0.85</v>
      </c>
      <c r="AF12" s="811">
        <v>0.81819999999999993</v>
      </c>
      <c r="AG12" s="836">
        <f t="shared" si="3"/>
        <v>9.35</v>
      </c>
      <c r="AH12" s="836">
        <f t="shared" si="4"/>
        <v>9.0001999999999995</v>
      </c>
      <c r="AI12" s="794">
        <f t="shared" si="5"/>
        <v>9.35</v>
      </c>
      <c r="AJ12" s="794">
        <f t="shared" si="6"/>
        <v>9.0001999999999995</v>
      </c>
      <c r="AK12" s="8">
        <v>186649</v>
      </c>
      <c r="AL12" s="9">
        <v>43743</v>
      </c>
      <c r="AM12" s="9">
        <f t="shared" si="1"/>
        <v>230392</v>
      </c>
      <c r="AN12" s="127">
        <v>9448</v>
      </c>
      <c r="AO12" s="77">
        <v>9448</v>
      </c>
      <c r="AP12" s="171">
        <v>0</v>
      </c>
      <c r="AQ12" s="614">
        <v>41422</v>
      </c>
      <c r="AR12" s="614">
        <v>46488</v>
      </c>
      <c r="AS12" s="614">
        <v>50306</v>
      </c>
      <c r="AT12" s="614">
        <v>48433</v>
      </c>
      <c r="AU12" s="614">
        <v>2180</v>
      </c>
      <c r="AV12" s="614">
        <v>9447</v>
      </c>
      <c r="AW12" s="776">
        <v>10122.25</v>
      </c>
      <c r="AX12" s="772">
        <v>0</v>
      </c>
      <c r="AY12" s="776">
        <v>10122</v>
      </c>
      <c r="AZ12" s="615">
        <v>21994.25</v>
      </c>
      <c r="BA12" s="668"/>
      <c r="BB12" s="668"/>
      <c r="BC12" s="668"/>
      <c r="BD12" s="668"/>
      <c r="BE12" s="668"/>
      <c r="BF12" s="184"/>
      <c r="BG12" s="184">
        <v>0</v>
      </c>
      <c r="BH12" s="184">
        <v>9448</v>
      </c>
      <c r="BI12" s="181">
        <v>9448</v>
      </c>
      <c r="BJ12" s="181">
        <f t="shared" si="7"/>
        <v>9448</v>
      </c>
      <c r="BK12" s="11"/>
    </row>
    <row r="13" spans="1:63" s="10" customFormat="1" ht="409.6" thickBot="1" x14ac:dyDescent="0.3">
      <c r="A13" s="210">
        <v>12</v>
      </c>
      <c r="B13" s="214" t="s">
        <v>79</v>
      </c>
      <c r="C13" s="211" t="s">
        <v>80</v>
      </c>
      <c r="D13" s="211" t="s">
        <v>339</v>
      </c>
      <c r="E13" s="211" t="s">
        <v>1226</v>
      </c>
      <c r="F13" s="212" t="s">
        <v>17</v>
      </c>
      <c r="G13" s="213" t="s">
        <v>84</v>
      </c>
      <c r="H13" s="213" t="s">
        <v>1347</v>
      </c>
      <c r="I13" s="214" t="s">
        <v>81</v>
      </c>
      <c r="J13" s="212" t="s">
        <v>1002</v>
      </c>
      <c r="K13" s="211" t="s">
        <v>82</v>
      </c>
      <c r="L13" s="211" t="s">
        <v>10</v>
      </c>
      <c r="M13" s="215" t="s">
        <v>1054</v>
      </c>
      <c r="N13" s="216" t="s">
        <v>1055</v>
      </c>
      <c r="O13" s="217" t="s">
        <v>1056</v>
      </c>
      <c r="P13" s="218" t="s">
        <v>28</v>
      </c>
      <c r="Q13" s="222" t="s">
        <v>85</v>
      </c>
      <c r="R13" s="222">
        <v>0</v>
      </c>
      <c r="S13" s="212">
        <f>0</f>
        <v>0</v>
      </c>
      <c r="T13" s="212">
        <v>0</v>
      </c>
      <c r="U13" s="212">
        <v>1600</v>
      </c>
      <c r="V13" s="212">
        <v>2023</v>
      </c>
      <c r="W13" s="212">
        <v>1600</v>
      </c>
      <c r="X13" s="6">
        <f t="shared" si="9"/>
        <v>2023</v>
      </c>
      <c r="Y13" s="6">
        <f t="shared" si="8"/>
        <v>1600</v>
      </c>
      <c r="Z13" s="12">
        <f t="shared" si="0"/>
        <v>3200</v>
      </c>
      <c r="AA13" s="812">
        <v>0</v>
      </c>
      <c r="AB13" s="812" t="s">
        <v>1553</v>
      </c>
      <c r="AC13" s="836">
        <f t="shared" si="2"/>
        <v>0</v>
      </c>
      <c r="AD13" s="836">
        <v>0</v>
      </c>
      <c r="AE13" s="812">
        <v>0.4</v>
      </c>
      <c r="AF13" s="812">
        <v>0.8</v>
      </c>
      <c r="AG13" s="836">
        <f t="shared" si="3"/>
        <v>809.2</v>
      </c>
      <c r="AH13" s="836">
        <f t="shared" si="4"/>
        <v>1618.4</v>
      </c>
      <c r="AI13" s="794">
        <f t="shared" si="5"/>
        <v>809.2</v>
      </c>
      <c r="AJ13" s="794">
        <f t="shared" si="6"/>
        <v>1618.4</v>
      </c>
      <c r="AK13" s="711">
        <v>11336068</v>
      </c>
      <c r="AL13" s="711">
        <v>475636</v>
      </c>
      <c r="AM13" s="221">
        <f t="shared" si="1"/>
        <v>11811704</v>
      </c>
      <c r="AN13" s="682">
        <v>169014</v>
      </c>
      <c r="AO13" s="682">
        <v>169014</v>
      </c>
      <c r="AP13" s="764">
        <v>0</v>
      </c>
      <c r="AQ13" s="718" t="s">
        <v>1336</v>
      </c>
      <c r="AR13" s="766">
        <v>3925911</v>
      </c>
      <c r="AS13" s="767">
        <v>3925911</v>
      </c>
      <c r="AT13" s="767">
        <v>3484246</v>
      </c>
      <c r="AU13" s="769" t="s">
        <v>1336</v>
      </c>
      <c r="AV13" s="767">
        <v>169011.12</v>
      </c>
      <c r="AW13" s="781">
        <v>174717.02</v>
      </c>
      <c r="AX13" s="781">
        <v>174717</v>
      </c>
      <c r="AY13" s="781">
        <v>0</v>
      </c>
      <c r="AZ13" s="773">
        <v>369724.73999999993</v>
      </c>
      <c r="BA13" s="669"/>
      <c r="BB13" s="669"/>
      <c r="BC13" s="669"/>
      <c r="BD13" s="669"/>
      <c r="BE13" s="669"/>
      <c r="BF13" s="182"/>
      <c r="BG13" s="182">
        <v>0</v>
      </c>
      <c r="BH13" s="182">
        <f>56338*3</f>
        <v>169014</v>
      </c>
      <c r="BI13" s="11">
        <f>56338*3</f>
        <v>169014</v>
      </c>
      <c r="BJ13" s="181">
        <f t="shared" si="7"/>
        <v>169014</v>
      </c>
      <c r="BK13" s="11"/>
    </row>
    <row r="14" spans="1:63" s="10" customFormat="1" ht="180.75" thickBot="1" x14ac:dyDescent="0.3">
      <c r="A14" s="1">
        <v>13</v>
      </c>
      <c r="B14" s="3" t="s">
        <v>79</v>
      </c>
      <c r="C14" s="3" t="s">
        <v>86</v>
      </c>
      <c r="D14" s="3" t="s">
        <v>339</v>
      </c>
      <c r="E14" s="3" t="s">
        <v>1230</v>
      </c>
      <c r="F14" s="3" t="s">
        <v>51</v>
      </c>
      <c r="G14" s="4" t="s">
        <v>89</v>
      </c>
      <c r="H14" s="613" t="s">
        <v>1348</v>
      </c>
      <c r="I14" s="2" t="s">
        <v>87</v>
      </c>
      <c r="J14" s="3" t="s">
        <v>1000</v>
      </c>
      <c r="K14" s="3" t="s">
        <v>88</v>
      </c>
      <c r="L14" s="3" t="s">
        <v>10</v>
      </c>
      <c r="M14" s="240" t="s">
        <v>34</v>
      </c>
      <c r="N14" s="240" t="s">
        <v>34</v>
      </c>
      <c r="O14" s="240" t="s">
        <v>34</v>
      </c>
      <c r="P14" s="17" t="s">
        <v>28</v>
      </c>
      <c r="Q14" s="16" t="s">
        <v>90</v>
      </c>
      <c r="R14" s="16">
        <v>0</v>
      </c>
      <c r="S14" s="12">
        <v>500</v>
      </c>
      <c r="T14" s="12">
        <v>500</v>
      </c>
      <c r="U14" s="12">
        <v>1000</v>
      </c>
      <c r="V14" s="12">
        <v>365</v>
      </c>
      <c r="W14" s="27">
        <v>1250</v>
      </c>
      <c r="X14" s="6">
        <f t="shared" si="9"/>
        <v>865</v>
      </c>
      <c r="Y14" s="6">
        <f t="shared" si="8"/>
        <v>1500</v>
      </c>
      <c r="Z14" s="12">
        <f t="shared" si="0"/>
        <v>2750</v>
      </c>
      <c r="AA14" s="811">
        <v>0.23</v>
      </c>
      <c r="AB14" s="811">
        <v>6.3700000000000007E-2</v>
      </c>
      <c r="AC14" s="836">
        <f t="shared" si="2"/>
        <v>115</v>
      </c>
      <c r="AD14" s="836">
        <f t="shared" ref="AD14:AD42" si="10">AB14*T14</f>
        <v>31.850000000000005</v>
      </c>
      <c r="AE14" s="811">
        <v>0.23</v>
      </c>
      <c r="AF14" s="811">
        <v>0.15889999999999999</v>
      </c>
      <c r="AG14" s="836">
        <f t="shared" si="3"/>
        <v>83.95</v>
      </c>
      <c r="AH14" s="836">
        <f t="shared" si="4"/>
        <v>57.998499999999993</v>
      </c>
      <c r="AI14" s="794">
        <f t="shared" si="5"/>
        <v>198.95</v>
      </c>
      <c r="AJ14" s="794">
        <f t="shared" si="6"/>
        <v>89.848500000000001</v>
      </c>
      <c r="AK14" s="8">
        <v>13134966</v>
      </c>
      <c r="AL14" s="9">
        <v>1583185</v>
      </c>
      <c r="AM14" s="9">
        <f t="shared" si="1"/>
        <v>14718151</v>
      </c>
      <c r="AN14" s="127">
        <v>169011</v>
      </c>
      <c r="AO14" s="77">
        <v>338022</v>
      </c>
      <c r="AP14" s="171">
        <v>169011</v>
      </c>
      <c r="AQ14" s="614">
        <v>2969321</v>
      </c>
      <c r="AR14" s="614">
        <v>3348858</v>
      </c>
      <c r="AS14" s="616">
        <v>3482813</v>
      </c>
      <c r="AT14" s="614">
        <v>3333974</v>
      </c>
      <c r="AU14" s="770">
        <v>156280</v>
      </c>
      <c r="AV14" s="614">
        <v>338022.24</v>
      </c>
      <c r="AW14" s="779">
        <v>349434.04</v>
      </c>
      <c r="AX14" s="776">
        <v>0</v>
      </c>
      <c r="AY14" s="776">
        <v>349434</v>
      </c>
      <c r="AZ14" s="615">
        <v>739449.47999999986</v>
      </c>
      <c r="BA14" s="668"/>
      <c r="BB14" s="668"/>
      <c r="BC14" s="668"/>
      <c r="BD14" s="668"/>
      <c r="BE14" s="668"/>
      <c r="BF14" s="184"/>
      <c r="BG14" s="184">
        <v>169011</v>
      </c>
      <c r="BH14" s="184">
        <v>169011</v>
      </c>
      <c r="BI14" s="181">
        <v>338022</v>
      </c>
      <c r="BJ14" s="181">
        <f t="shared" si="7"/>
        <v>338022</v>
      </c>
      <c r="BK14" s="11"/>
    </row>
    <row r="15" spans="1:63" s="10" customFormat="1" ht="225.75" thickBot="1" x14ac:dyDescent="0.3">
      <c r="A15" s="1">
        <v>14</v>
      </c>
      <c r="B15" s="2" t="s">
        <v>79</v>
      </c>
      <c r="C15" s="3" t="s">
        <v>91</v>
      </c>
      <c r="D15" s="3" t="s">
        <v>339</v>
      </c>
      <c r="E15" s="3" t="s">
        <v>1230</v>
      </c>
      <c r="F15" s="3" t="s">
        <v>51</v>
      </c>
      <c r="G15" s="4" t="s">
        <v>95</v>
      </c>
      <c r="H15" s="613" t="s">
        <v>1349</v>
      </c>
      <c r="I15" s="2" t="s">
        <v>92</v>
      </c>
      <c r="J15" s="12" t="s">
        <v>1002</v>
      </c>
      <c r="K15" s="3" t="s">
        <v>93</v>
      </c>
      <c r="L15" s="3" t="s">
        <v>10</v>
      </c>
      <c r="M15" s="240" t="s">
        <v>1057</v>
      </c>
      <c r="N15" s="240" t="s">
        <v>1058</v>
      </c>
      <c r="O15" s="240" t="s">
        <v>1058</v>
      </c>
      <c r="P15" s="17" t="s">
        <v>28</v>
      </c>
      <c r="Q15" s="16" t="s">
        <v>90</v>
      </c>
      <c r="R15" s="16">
        <v>0</v>
      </c>
      <c r="S15" s="12">
        <v>500</v>
      </c>
      <c r="T15" s="12">
        <v>501</v>
      </c>
      <c r="U15" s="12">
        <v>1000</v>
      </c>
      <c r="V15" s="12">
        <v>0</v>
      </c>
      <c r="W15" s="12">
        <v>1250</v>
      </c>
      <c r="X15" s="6">
        <f t="shared" si="9"/>
        <v>501</v>
      </c>
      <c r="Y15" s="6">
        <f t="shared" si="8"/>
        <v>1500</v>
      </c>
      <c r="Z15" s="12">
        <f t="shared" si="0"/>
        <v>2750</v>
      </c>
      <c r="AA15" s="811">
        <v>0.23</v>
      </c>
      <c r="AB15" s="811">
        <v>0.63470000000000004</v>
      </c>
      <c r="AC15" s="836">
        <f t="shared" si="2"/>
        <v>115.23</v>
      </c>
      <c r="AD15" s="836">
        <f t="shared" si="10"/>
        <v>317.98470000000003</v>
      </c>
      <c r="AE15" s="811">
        <v>0.23</v>
      </c>
      <c r="AF15" s="811">
        <v>0</v>
      </c>
      <c r="AG15" s="836">
        <f t="shared" si="3"/>
        <v>0</v>
      </c>
      <c r="AH15" s="836">
        <f t="shared" si="4"/>
        <v>0</v>
      </c>
      <c r="AI15" s="794">
        <f t="shared" si="5"/>
        <v>115.23</v>
      </c>
      <c r="AJ15" s="794">
        <f t="shared" si="6"/>
        <v>317.98470000000003</v>
      </c>
      <c r="AK15" s="8">
        <v>16418710</v>
      </c>
      <c r="AL15" s="9">
        <v>1622256</v>
      </c>
      <c r="AM15" s="9">
        <f t="shared" si="1"/>
        <v>18040966</v>
      </c>
      <c r="AN15" s="158">
        <v>169012</v>
      </c>
      <c r="AO15" s="158">
        <v>338024</v>
      </c>
      <c r="AP15" s="594">
        <v>169012</v>
      </c>
      <c r="AQ15" s="614">
        <v>3711650</v>
      </c>
      <c r="AR15" s="614">
        <v>4186076</v>
      </c>
      <c r="AS15" s="614">
        <v>4353516</v>
      </c>
      <c r="AT15" s="614">
        <v>4167468</v>
      </c>
      <c r="AU15" s="614">
        <v>195350</v>
      </c>
      <c r="AV15" s="614">
        <v>338022.24</v>
      </c>
      <c r="AW15" s="776">
        <v>349434.04</v>
      </c>
      <c r="AX15" s="776">
        <v>0</v>
      </c>
      <c r="AY15" s="776">
        <v>349434</v>
      </c>
      <c r="AZ15" s="615">
        <v>739449.48</v>
      </c>
      <c r="BA15" s="668"/>
      <c r="BB15" s="668"/>
      <c r="BC15" s="668"/>
      <c r="BD15" s="668"/>
      <c r="BE15" s="668"/>
      <c r="BF15" s="182"/>
      <c r="BG15" s="182" t="s">
        <v>1220</v>
      </c>
      <c r="BH15" s="182">
        <f>84506*2</f>
        <v>169012</v>
      </c>
      <c r="BI15" s="246">
        <f>169012*2</f>
        <v>338024</v>
      </c>
      <c r="BJ15" s="245">
        <f>SUM(BG15:BH15)</f>
        <v>169012</v>
      </c>
      <c r="BK15" s="11"/>
    </row>
    <row r="16" spans="1:63" s="10" customFormat="1" ht="135.75" thickBot="1" x14ac:dyDescent="0.3">
      <c r="A16" s="1">
        <v>15</v>
      </c>
      <c r="B16" s="3" t="s">
        <v>96</v>
      </c>
      <c r="C16" s="3" t="s">
        <v>97</v>
      </c>
      <c r="D16" s="3" t="s">
        <v>339</v>
      </c>
      <c r="E16" s="2" t="s">
        <v>1226</v>
      </c>
      <c r="F16" s="16" t="s">
        <v>17</v>
      </c>
      <c r="G16" s="4" t="s">
        <v>100</v>
      </c>
      <c r="H16" s="613" t="s">
        <v>1350</v>
      </c>
      <c r="I16" s="2" t="s">
        <v>98</v>
      </c>
      <c r="J16" s="12" t="s">
        <v>1003</v>
      </c>
      <c r="K16" s="3" t="s">
        <v>99</v>
      </c>
      <c r="L16" s="3" t="s">
        <v>10</v>
      </c>
      <c r="M16" s="28" t="s">
        <v>101</v>
      </c>
      <c r="N16" s="28" t="s">
        <v>102</v>
      </c>
      <c r="O16" s="28" t="s">
        <v>103</v>
      </c>
      <c r="P16" s="5" t="s">
        <v>189</v>
      </c>
      <c r="Q16" s="29">
        <v>701.12</v>
      </c>
      <c r="R16" s="29">
        <v>0</v>
      </c>
      <c r="S16" s="12">
        <v>250</v>
      </c>
      <c r="T16" s="12">
        <v>1219</v>
      </c>
      <c r="U16" s="12">
        <v>500</v>
      </c>
      <c r="V16" s="12">
        <v>2776</v>
      </c>
      <c r="W16" s="21">
        <v>1500</v>
      </c>
      <c r="X16" s="6">
        <f t="shared" si="9"/>
        <v>3995</v>
      </c>
      <c r="Y16" s="6">
        <f t="shared" si="8"/>
        <v>750</v>
      </c>
      <c r="Z16" s="12">
        <f t="shared" si="0"/>
        <v>2250</v>
      </c>
      <c r="AA16" s="811">
        <v>0.9</v>
      </c>
      <c r="AB16" s="811">
        <v>0.98</v>
      </c>
      <c r="AC16" s="836">
        <f t="shared" si="2"/>
        <v>1097.1000000000001</v>
      </c>
      <c r="AD16" s="836">
        <f t="shared" si="10"/>
        <v>1194.6199999999999</v>
      </c>
      <c r="AE16" s="811">
        <v>0.9</v>
      </c>
      <c r="AF16" s="811">
        <v>0.91300000000000003</v>
      </c>
      <c r="AG16" s="836">
        <f t="shared" si="3"/>
        <v>2498.4</v>
      </c>
      <c r="AH16" s="836">
        <f t="shared" si="4"/>
        <v>2534.4880000000003</v>
      </c>
      <c r="AI16" s="794">
        <f t="shared" si="5"/>
        <v>3595.5</v>
      </c>
      <c r="AJ16" s="794">
        <f t="shared" si="6"/>
        <v>3729.1080000000002</v>
      </c>
      <c r="AK16" s="30">
        <v>13168403.42</v>
      </c>
      <c r="AL16" s="9">
        <v>1773984</v>
      </c>
      <c r="AM16" s="9">
        <f t="shared" si="1"/>
        <v>14942387.42</v>
      </c>
      <c r="AN16" s="158">
        <v>344748</v>
      </c>
      <c r="AO16" s="158">
        <v>344748</v>
      </c>
      <c r="AP16" s="594">
        <v>0</v>
      </c>
      <c r="AQ16" s="614">
        <v>2986666.15</v>
      </c>
      <c r="AR16" s="614">
        <v>3283290.27</v>
      </c>
      <c r="AS16" s="614">
        <v>3508546.76</v>
      </c>
      <c r="AT16" s="614">
        <v>3389900.24</v>
      </c>
      <c r="AU16" s="614">
        <v>157192.95999999999</v>
      </c>
      <c r="AV16" s="614">
        <v>344747.68</v>
      </c>
      <c r="AW16" s="779">
        <v>434274</v>
      </c>
      <c r="AX16" s="776">
        <v>434274</v>
      </c>
      <c r="AY16" s="776">
        <v>0</v>
      </c>
      <c r="AZ16" s="615">
        <v>875272.87554499996</v>
      </c>
      <c r="BA16" s="668"/>
      <c r="BB16" s="668"/>
      <c r="BC16" s="668"/>
      <c r="BD16" s="668"/>
      <c r="BE16" s="668"/>
      <c r="BF16" s="182"/>
      <c r="BG16" s="182">
        <v>0</v>
      </c>
      <c r="BH16" s="182">
        <f>172374*2</f>
        <v>344748</v>
      </c>
      <c r="BI16" s="11">
        <f>172374*2</f>
        <v>344748</v>
      </c>
      <c r="BJ16" s="181">
        <f t="shared" si="7"/>
        <v>344748</v>
      </c>
      <c r="BK16" s="11"/>
    </row>
    <row r="17" spans="1:63" s="10" customFormat="1" ht="270.95" customHeight="1" thickBot="1" x14ac:dyDescent="0.3">
      <c r="A17" s="1">
        <v>16</v>
      </c>
      <c r="B17" s="2" t="s">
        <v>96</v>
      </c>
      <c r="C17" s="3" t="s">
        <v>104</v>
      </c>
      <c r="D17" s="3" t="s">
        <v>339</v>
      </c>
      <c r="E17" s="2" t="s">
        <v>1228</v>
      </c>
      <c r="F17" s="16" t="s">
        <v>17</v>
      </c>
      <c r="G17" s="4" t="s">
        <v>107</v>
      </c>
      <c r="H17" s="613" t="s">
        <v>1351</v>
      </c>
      <c r="I17" s="56" t="s">
        <v>105</v>
      </c>
      <c r="J17" s="16" t="s">
        <v>1004</v>
      </c>
      <c r="K17" s="3" t="s">
        <v>106</v>
      </c>
      <c r="L17" s="3" t="s">
        <v>10</v>
      </c>
      <c r="M17" s="14" t="s">
        <v>108</v>
      </c>
      <c r="N17" s="6" t="s">
        <v>109</v>
      </c>
      <c r="O17" s="15" t="s">
        <v>110</v>
      </c>
      <c r="P17" s="17" t="s">
        <v>189</v>
      </c>
      <c r="Q17" s="16" t="s">
        <v>112</v>
      </c>
      <c r="R17" s="16">
        <v>0</v>
      </c>
      <c r="S17" s="12">
        <v>25</v>
      </c>
      <c r="T17" s="12">
        <v>31</v>
      </c>
      <c r="U17" s="12">
        <v>125</v>
      </c>
      <c r="V17" s="12">
        <v>125</v>
      </c>
      <c r="W17" s="3">
        <v>150</v>
      </c>
      <c r="X17" s="6">
        <f t="shared" si="9"/>
        <v>156</v>
      </c>
      <c r="Y17" s="6">
        <f t="shared" si="8"/>
        <v>150</v>
      </c>
      <c r="Z17" s="12">
        <f t="shared" si="0"/>
        <v>300</v>
      </c>
      <c r="AA17" s="811">
        <v>0.89</v>
      </c>
      <c r="AB17" s="811">
        <v>0.74</v>
      </c>
      <c r="AC17" s="836">
        <f t="shared" si="2"/>
        <v>27.59</v>
      </c>
      <c r="AD17" s="836">
        <f t="shared" si="10"/>
        <v>22.94</v>
      </c>
      <c r="AE17" s="811">
        <v>0.89</v>
      </c>
      <c r="AF17" s="811">
        <v>0.65999999999999992</v>
      </c>
      <c r="AG17" s="836">
        <f t="shared" si="3"/>
        <v>111.25</v>
      </c>
      <c r="AH17" s="836">
        <f t="shared" si="4"/>
        <v>82.499999999999986</v>
      </c>
      <c r="AI17" s="794">
        <f t="shared" si="5"/>
        <v>138.84</v>
      </c>
      <c r="AJ17" s="794">
        <f t="shared" si="6"/>
        <v>105.43999999999998</v>
      </c>
      <c r="AK17" s="8">
        <v>2616614.6</v>
      </c>
      <c r="AL17" s="9">
        <v>641406</v>
      </c>
      <c r="AM17" s="9">
        <f t="shared" si="1"/>
        <v>3258020.6</v>
      </c>
      <c r="AN17" s="158">
        <v>130336</v>
      </c>
      <c r="AO17" s="158">
        <v>133336</v>
      </c>
      <c r="AP17" s="594">
        <v>0</v>
      </c>
      <c r="AQ17" s="614">
        <v>572683.87</v>
      </c>
      <c r="AR17" s="614">
        <v>650134.93999999994</v>
      </c>
      <c r="AS17" s="614">
        <v>710452.91</v>
      </c>
      <c r="AT17" s="614">
        <v>683342.88</v>
      </c>
      <c r="AU17" s="614">
        <v>30141.26</v>
      </c>
      <c r="AV17" s="614">
        <v>130339.4</v>
      </c>
      <c r="AW17" s="779">
        <v>131257</v>
      </c>
      <c r="AX17" s="776">
        <v>150008</v>
      </c>
      <c r="AY17" s="776">
        <v>0</v>
      </c>
      <c r="AZ17" s="615">
        <v>330916.02099999995</v>
      </c>
      <c r="BA17" s="668"/>
      <c r="BB17" s="668"/>
      <c r="BC17" s="668"/>
      <c r="BD17" s="668"/>
      <c r="BE17" s="668"/>
      <c r="BF17" s="182"/>
      <c r="BG17" s="182">
        <v>0</v>
      </c>
      <c r="BH17" s="182">
        <f>32584*3+(35584)</f>
        <v>133336</v>
      </c>
      <c r="BI17" s="11">
        <f>(32584*3)+35584</f>
        <v>133336</v>
      </c>
      <c r="BJ17" s="181">
        <f t="shared" si="7"/>
        <v>133336</v>
      </c>
      <c r="BK17" s="11"/>
    </row>
    <row r="18" spans="1:63" s="10" customFormat="1" ht="300.75" thickBot="1" x14ac:dyDescent="0.3">
      <c r="A18" s="696">
        <v>17</v>
      </c>
      <c r="B18" s="3" t="s">
        <v>96</v>
      </c>
      <c r="C18" s="2" t="s">
        <v>113</v>
      </c>
      <c r="D18" s="3" t="s">
        <v>339</v>
      </c>
      <c r="E18" s="2" t="s">
        <v>1227</v>
      </c>
      <c r="F18" s="32" t="s">
        <v>8</v>
      </c>
      <c r="G18" s="4" t="s">
        <v>116</v>
      </c>
      <c r="H18" s="4" t="s">
        <v>1352</v>
      </c>
      <c r="I18" s="57" t="s">
        <v>114</v>
      </c>
      <c r="J18" s="12" t="s">
        <v>1007</v>
      </c>
      <c r="K18" s="3" t="s">
        <v>115</v>
      </c>
      <c r="L18" s="3" t="s">
        <v>10</v>
      </c>
      <c r="M18" s="240" t="s">
        <v>34</v>
      </c>
      <c r="N18" s="240" t="s">
        <v>34</v>
      </c>
      <c r="O18" s="240" t="s">
        <v>34</v>
      </c>
      <c r="P18" s="17" t="s">
        <v>28</v>
      </c>
      <c r="Q18" s="16" t="s">
        <v>117</v>
      </c>
      <c r="R18" s="16">
        <v>160</v>
      </c>
      <c r="S18" s="12">
        <v>50</v>
      </c>
      <c r="T18" s="12">
        <v>50</v>
      </c>
      <c r="U18" s="12">
        <v>72</v>
      </c>
      <c r="V18" s="12">
        <v>83</v>
      </c>
      <c r="W18" s="21">
        <v>101</v>
      </c>
      <c r="X18" s="6">
        <f t="shared" si="9"/>
        <v>133</v>
      </c>
      <c r="Y18" s="6">
        <f t="shared" si="8"/>
        <v>122</v>
      </c>
      <c r="Z18" s="12">
        <f t="shared" si="0"/>
        <v>223</v>
      </c>
      <c r="AA18" s="811">
        <v>0.91999999999999993</v>
      </c>
      <c r="AB18" s="811">
        <v>0.97099999999999997</v>
      </c>
      <c r="AC18" s="836">
        <f t="shared" si="2"/>
        <v>46</v>
      </c>
      <c r="AD18" s="836">
        <f t="shared" si="10"/>
        <v>48.55</v>
      </c>
      <c r="AE18" s="811">
        <v>0.91999999999999993</v>
      </c>
      <c r="AF18" s="811">
        <v>0.89800000000000002</v>
      </c>
      <c r="AG18" s="836">
        <f t="shared" si="3"/>
        <v>76.36</v>
      </c>
      <c r="AH18" s="836">
        <f t="shared" si="4"/>
        <v>74.534000000000006</v>
      </c>
      <c r="AI18" s="794">
        <f t="shared" si="5"/>
        <v>122.36</v>
      </c>
      <c r="AJ18" s="794">
        <f t="shared" si="6"/>
        <v>123.084</v>
      </c>
      <c r="AK18" s="22">
        <v>6895366.5</v>
      </c>
      <c r="AL18" s="9">
        <v>1088050</v>
      </c>
      <c r="AM18" s="9">
        <f t="shared" si="1"/>
        <v>7983416.5</v>
      </c>
      <c r="AN18" s="158">
        <v>116002</v>
      </c>
      <c r="AO18" s="158">
        <v>232004</v>
      </c>
      <c r="AP18" s="158">
        <v>116002</v>
      </c>
      <c r="AQ18" s="26" t="s">
        <v>1336</v>
      </c>
      <c r="AR18" s="620">
        <v>2110827</v>
      </c>
      <c r="AS18" s="620">
        <v>2532991.5</v>
      </c>
      <c r="AT18" s="620">
        <v>2251548</v>
      </c>
      <c r="AU18" s="719" t="s">
        <v>1336</v>
      </c>
      <c r="AV18" s="620">
        <v>232004.12</v>
      </c>
      <c r="AW18" s="782">
        <v>267016</v>
      </c>
      <c r="AX18" s="778">
        <v>267016</v>
      </c>
      <c r="AY18" s="778">
        <v>0</v>
      </c>
      <c r="AZ18" s="622">
        <v>589030.51737999998</v>
      </c>
      <c r="BA18" s="669"/>
      <c r="BB18" s="669"/>
      <c r="BC18" s="669"/>
      <c r="BD18" s="669"/>
      <c r="BE18" s="669"/>
      <c r="BF18" s="182"/>
      <c r="BG18" s="182">
        <v>0</v>
      </c>
      <c r="BH18" s="182">
        <f>116002*2</f>
        <v>232004</v>
      </c>
      <c r="BI18" s="11">
        <f>116002*2</f>
        <v>232004</v>
      </c>
      <c r="BJ18" s="181">
        <f>BG18+BH18</f>
        <v>232004</v>
      </c>
      <c r="BK18" s="11"/>
    </row>
    <row r="19" spans="1:63" s="10" customFormat="1" ht="255.75" thickBot="1" x14ac:dyDescent="0.3">
      <c r="A19" s="1">
        <v>18</v>
      </c>
      <c r="B19" s="3" t="s">
        <v>96</v>
      </c>
      <c r="C19" s="2" t="s">
        <v>118</v>
      </c>
      <c r="D19" s="3" t="s">
        <v>339</v>
      </c>
      <c r="E19" s="3" t="s">
        <v>1232</v>
      </c>
      <c r="F19" s="12" t="s">
        <v>120</v>
      </c>
      <c r="G19" s="4" t="s">
        <v>121</v>
      </c>
      <c r="H19" s="4" t="s">
        <v>1353</v>
      </c>
      <c r="I19" s="2" t="s">
        <v>119</v>
      </c>
      <c r="J19" s="12" t="s">
        <v>992</v>
      </c>
      <c r="K19" s="3" t="s">
        <v>279</v>
      </c>
      <c r="L19" s="3" t="s">
        <v>10</v>
      </c>
      <c r="M19" s="12" t="s">
        <v>34</v>
      </c>
      <c r="N19" s="12" t="s">
        <v>34</v>
      </c>
      <c r="O19" s="12" t="s">
        <v>34</v>
      </c>
      <c r="P19" s="17" t="s">
        <v>12</v>
      </c>
      <c r="Q19" s="16" t="s">
        <v>122</v>
      </c>
      <c r="R19" s="16">
        <v>0</v>
      </c>
      <c r="S19" s="12">
        <v>700</v>
      </c>
      <c r="T19" s="12">
        <v>704</v>
      </c>
      <c r="U19" s="12">
        <v>1263</v>
      </c>
      <c r="V19" s="12">
        <v>50</v>
      </c>
      <c r="W19" s="12">
        <v>1700</v>
      </c>
      <c r="X19" s="6">
        <f t="shared" si="9"/>
        <v>754</v>
      </c>
      <c r="Y19" s="6">
        <f t="shared" si="8"/>
        <v>1963</v>
      </c>
      <c r="Z19" s="12">
        <f t="shared" si="0"/>
        <v>3663</v>
      </c>
      <c r="AA19" s="811">
        <v>0.89</v>
      </c>
      <c r="AB19" s="811">
        <v>0.86099999999999999</v>
      </c>
      <c r="AC19" s="836">
        <f t="shared" si="2"/>
        <v>626.56000000000006</v>
      </c>
      <c r="AD19" s="836">
        <f t="shared" si="10"/>
        <v>606.14400000000001</v>
      </c>
      <c r="AE19" s="811">
        <v>0.89</v>
      </c>
      <c r="AF19" s="811">
        <v>1.048</v>
      </c>
      <c r="AG19" s="836">
        <f t="shared" si="3"/>
        <v>44.5</v>
      </c>
      <c r="AH19" s="836">
        <f t="shared" si="4"/>
        <v>52.400000000000006</v>
      </c>
      <c r="AI19" s="794">
        <f t="shared" si="5"/>
        <v>671.06000000000006</v>
      </c>
      <c r="AJ19" s="794">
        <f t="shared" si="6"/>
        <v>658.54399999999998</v>
      </c>
      <c r="AK19" s="22">
        <v>392608</v>
      </c>
      <c r="AL19" s="9">
        <v>123077</v>
      </c>
      <c r="AM19" s="9">
        <f t="shared" si="1"/>
        <v>515685</v>
      </c>
      <c r="AN19" s="127">
        <v>5809</v>
      </c>
      <c r="AO19" s="77">
        <v>11618</v>
      </c>
      <c r="AP19" s="171">
        <v>5809</v>
      </c>
      <c r="AQ19" s="171" t="s">
        <v>1336</v>
      </c>
      <c r="AR19" s="620">
        <v>76752</v>
      </c>
      <c r="AS19" s="620">
        <v>134636</v>
      </c>
      <c r="AT19" s="620">
        <v>181220</v>
      </c>
      <c r="AU19" s="768" t="s">
        <v>1336</v>
      </c>
      <c r="AV19" s="620">
        <v>11618.09</v>
      </c>
      <c r="AW19" s="782">
        <v>34252</v>
      </c>
      <c r="AX19" s="778">
        <v>34252</v>
      </c>
      <c r="AY19" s="778">
        <v>0</v>
      </c>
      <c r="AZ19" s="622">
        <v>77206.990000000005</v>
      </c>
      <c r="BA19" s="669"/>
      <c r="BB19" s="669"/>
      <c r="BC19" s="669"/>
      <c r="BD19" s="669"/>
      <c r="BE19" s="669"/>
      <c r="BF19" s="184"/>
      <c r="BG19" s="184">
        <v>0</v>
      </c>
      <c r="BH19" s="245">
        <v>5809</v>
      </c>
      <c r="BI19" s="245">
        <v>11618</v>
      </c>
      <c r="BJ19" s="245">
        <f>BG19+BH19</f>
        <v>5809</v>
      </c>
      <c r="BK19" s="11"/>
    </row>
    <row r="20" spans="1:63" s="10" customFormat="1" ht="105.75" thickBot="1" x14ac:dyDescent="0.3">
      <c r="A20" s="1">
        <v>19</v>
      </c>
      <c r="B20" s="2" t="s">
        <v>96</v>
      </c>
      <c r="C20" s="156" t="s">
        <v>123</v>
      </c>
      <c r="D20" s="3" t="s">
        <v>339</v>
      </c>
      <c r="E20" s="3" t="s">
        <v>1227</v>
      </c>
      <c r="F20" s="3" t="s">
        <v>8</v>
      </c>
      <c r="G20" s="13" t="s">
        <v>126</v>
      </c>
      <c r="H20" s="613" t="s">
        <v>1354</v>
      </c>
      <c r="I20" s="2" t="s">
        <v>124</v>
      </c>
      <c r="J20" s="3" t="s">
        <v>1000</v>
      </c>
      <c r="K20" s="3" t="s">
        <v>125</v>
      </c>
      <c r="L20" s="3" t="s">
        <v>10</v>
      </c>
      <c r="M20" s="33">
        <v>706</v>
      </c>
      <c r="N20" s="33">
        <v>2691.28</v>
      </c>
      <c r="O20" s="33">
        <v>3.812011</v>
      </c>
      <c r="P20" s="17" t="s">
        <v>28</v>
      </c>
      <c r="Q20" s="29" t="s">
        <v>127</v>
      </c>
      <c r="R20" s="29">
        <v>0</v>
      </c>
      <c r="S20" s="12">
        <v>0</v>
      </c>
      <c r="T20" s="12">
        <v>0</v>
      </c>
      <c r="U20" s="12">
        <v>321</v>
      </c>
      <c r="V20" s="12">
        <v>56</v>
      </c>
      <c r="W20" s="12">
        <v>321</v>
      </c>
      <c r="X20" s="6">
        <f t="shared" si="9"/>
        <v>56</v>
      </c>
      <c r="Y20" s="6">
        <f t="shared" si="8"/>
        <v>321</v>
      </c>
      <c r="Z20" s="12">
        <f t="shared" si="0"/>
        <v>642</v>
      </c>
      <c r="AA20" s="811">
        <v>0</v>
      </c>
      <c r="AB20" s="811" t="s">
        <v>1553</v>
      </c>
      <c r="AC20" s="836">
        <f t="shared" si="2"/>
        <v>0</v>
      </c>
      <c r="AD20" s="836" t="e">
        <f t="shared" si="10"/>
        <v>#VALUE!</v>
      </c>
      <c r="AE20" s="811">
        <v>0.88</v>
      </c>
      <c r="AF20" s="811">
        <v>0.85699999999999998</v>
      </c>
      <c r="AG20" s="836">
        <f t="shared" si="3"/>
        <v>49.28</v>
      </c>
      <c r="AH20" s="836">
        <f t="shared" si="4"/>
        <v>47.991999999999997</v>
      </c>
      <c r="AI20" s="794">
        <f t="shared" si="5"/>
        <v>49.28</v>
      </c>
      <c r="AJ20" s="794">
        <v>0</v>
      </c>
      <c r="AK20" s="8">
        <v>19441204.66</v>
      </c>
      <c r="AL20" s="9">
        <v>1454960</v>
      </c>
      <c r="AM20" s="9">
        <f t="shared" si="1"/>
        <v>20896164.66</v>
      </c>
      <c r="AN20" s="127">
        <v>260678</v>
      </c>
      <c r="AO20" s="77">
        <v>260678</v>
      </c>
      <c r="AP20" s="171">
        <v>0</v>
      </c>
      <c r="AQ20" s="614">
        <v>4409371.88</v>
      </c>
      <c r="AR20" s="614">
        <v>4847293.6399999997</v>
      </c>
      <c r="AS20" s="614">
        <v>5179851.6100000003</v>
      </c>
      <c r="AT20" s="614">
        <v>5004687.53</v>
      </c>
      <c r="AU20" s="614">
        <v>232431.64000000004</v>
      </c>
      <c r="AV20" s="614">
        <v>260678.78</v>
      </c>
      <c r="AW20" s="779">
        <v>300017.26</v>
      </c>
      <c r="AX20" s="776">
        <v>300017</v>
      </c>
      <c r="AY20" s="776">
        <v>0</v>
      </c>
      <c r="AZ20" s="615">
        <v>661832.04200000002</v>
      </c>
      <c r="BA20" s="668"/>
      <c r="BB20" s="668"/>
      <c r="BC20" s="668"/>
      <c r="BD20" s="668"/>
      <c r="BE20" s="668"/>
      <c r="BF20" s="184"/>
      <c r="BG20" s="184">
        <v>0</v>
      </c>
      <c r="BH20" s="184">
        <v>260678</v>
      </c>
      <c r="BI20" s="181">
        <v>260678</v>
      </c>
      <c r="BJ20" s="181">
        <f t="shared" si="7"/>
        <v>260678</v>
      </c>
      <c r="BK20" s="11"/>
    </row>
    <row r="21" spans="1:63" s="10" customFormat="1" ht="180.75" thickBot="1" x14ac:dyDescent="0.3">
      <c r="A21" s="721">
        <v>20</v>
      </c>
      <c r="B21" s="214" t="s">
        <v>96</v>
      </c>
      <c r="C21" s="211" t="s">
        <v>128</v>
      </c>
      <c r="D21" s="211" t="s">
        <v>339</v>
      </c>
      <c r="E21" s="627" t="s">
        <v>1226</v>
      </c>
      <c r="F21" s="627" t="s">
        <v>17</v>
      </c>
      <c r="G21" s="629" t="s">
        <v>130</v>
      </c>
      <c r="H21" s="726" t="s">
        <v>1355</v>
      </c>
      <c r="I21" s="698" t="s">
        <v>1033</v>
      </c>
      <c r="J21" s="630" t="s">
        <v>1005</v>
      </c>
      <c r="K21" s="627" t="s">
        <v>129</v>
      </c>
      <c r="L21" s="627" t="s">
        <v>10</v>
      </c>
      <c r="M21" s="730" t="s">
        <v>131</v>
      </c>
      <c r="N21" s="730" t="s">
        <v>132</v>
      </c>
      <c r="O21" s="730" t="s">
        <v>133</v>
      </c>
      <c r="P21" s="704" t="s">
        <v>28</v>
      </c>
      <c r="Q21" s="736" t="s">
        <v>134</v>
      </c>
      <c r="R21" s="736">
        <v>0</v>
      </c>
      <c r="S21" s="630">
        <v>60</v>
      </c>
      <c r="T21" s="630">
        <v>119</v>
      </c>
      <c r="U21" s="630">
        <v>350</v>
      </c>
      <c r="V21" s="630">
        <v>463</v>
      </c>
      <c r="W21" s="630">
        <v>400</v>
      </c>
      <c r="X21" s="6">
        <f t="shared" si="9"/>
        <v>582</v>
      </c>
      <c r="Y21" s="6">
        <f t="shared" si="8"/>
        <v>410</v>
      </c>
      <c r="Z21" s="12">
        <f t="shared" si="0"/>
        <v>810</v>
      </c>
      <c r="AA21" s="813">
        <v>0.9</v>
      </c>
      <c r="AB21" s="813">
        <v>0.79</v>
      </c>
      <c r="AC21" s="836">
        <f t="shared" si="2"/>
        <v>107.10000000000001</v>
      </c>
      <c r="AD21" s="836">
        <f t="shared" si="10"/>
        <v>94.01</v>
      </c>
      <c r="AE21" s="813">
        <v>0.9</v>
      </c>
      <c r="AF21" s="813">
        <v>0.94599999999999995</v>
      </c>
      <c r="AG21" s="836">
        <f t="shared" si="3"/>
        <v>416.7</v>
      </c>
      <c r="AH21" s="836">
        <f t="shared" si="4"/>
        <v>437.99799999999999</v>
      </c>
      <c r="AI21" s="794">
        <f t="shared" si="5"/>
        <v>523.79999999999995</v>
      </c>
      <c r="AJ21" s="794">
        <f t="shared" si="6"/>
        <v>532.00800000000004</v>
      </c>
      <c r="AK21" s="743">
        <v>14039785</v>
      </c>
      <c r="AL21" s="631">
        <v>2490396</v>
      </c>
      <c r="AM21" s="631">
        <f t="shared" si="1"/>
        <v>16530181</v>
      </c>
      <c r="AN21" s="635">
        <v>371466</v>
      </c>
      <c r="AO21" s="635">
        <v>495288</v>
      </c>
      <c r="AP21" s="599">
        <v>123822</v>
      </c>
      <c r="AQ21" s="628">
        <v>3184300</v>
      </c>
      <c r="AR21" s="628">
        <v>3500553</v>
      </c>
      <c r="AS21" s="628">
        <v>3740715</v>
      </c>
      <c r="AT21" s="628">
        <v>3614217</v>
      </c>
      <c r="AU21" s="628">
        <v>167594.76</v>
      </c>
      <c r="AV21" s="628">
        <v>495289.68</v>
      </c>
      <c r="AW21" s="779">
        <v>570032</v>
      </c>
      <c r="AX21" s="779">
        <v>570032</v>
      </c>
      <c r="AY21" s="779">
        <v>0</v>
      </c>
      <c r="AZ21" s="643">
        <v>1257480.8798</v>
      </c>
      <c r="BA21" s="668"/>
      <c r="BB21" s="668"/>
      <c r="BC21" s="668"/>
      <c r="BD21" s="668"/>
      <c r="BE21" s="668"/>
      <c r="BF21" s="182"/>
      <c r="BG21" s="182">
        <v>123822</v>
      </c>
      <c r="BH21" s="182">
        <f>123822+247644</f>
        <v>371466</v>
      </c>
      <c r="BI21" s="11">
        <f>247644*2</f>
        <v>495288</v>
      </c>
      <c r="BJ21" s="181">
        <f>BG21+BH21</f>
        <v>495288</v>
      </c>
      <c r="BK21" s="11"/>
    </row>
    <row r="22" spans="1:63" s="10" customFormat="1" ht="121.5" customHeight="1" thickBot="1" x14ac:dyDescent="0.3">
      <c r="A22" s="1">
        <v>21</v>
      </c>
      <c r="B22" s="2" t="s">
        <v>96</v>
      </c>
      <c r="C22" s="3" t="s">
        <v>135</v>
      </c>
      <c r="D22" s="3" t="s">
        <v>339</v>
      </c>
      <c r="E22" s="3" t="s">
        <v>1228</v>
      </c>
      <c r="F22" s="3" t="s">
        <v>17</v>
      </c>
      <c r="G22" s="4" t="s">
        <v>138</v>
      </c>
      <c r="H22" s="613" t="s">
        <v>1356</v>
      </c>
      <c r="I22" s="2" t="s">
        <v>136</v>
      </c>
      <c r="J22" s="3" t="s">
        <v>1006</v>
      </c>
      <c r="K22" s="3" t="s">
        <v>137</v>
      </c>
      <c r="L22" s="3" t="s">
        <v>10</v>
      </c>
      <c r="M22" s="14" t="s">
        <v>139</v>
      </c>
      <c r="N22" s="6" t="s">
        <v>140</v>
      </c>
      <c r="O22" s="15" t="s">
        <v>141</v>
      </c>
      <c r="P22" s="17" t="s">
        <v>12</v>
      </c>
      <c r="Q22" s="16" t="s">
        <v>142</v>
      </c>
      <c r="R22" s="16">
        <v>4372</v>
      </c>
      <c r="S22" s="12">
        <v>3400</v>
      </c>
      <c r="T22" s="12">
        <v>3573</v>
      </c>
      <c r="U22" s="12">
        <v>8500</v>
      </c>
      <c r="V22" s="12">
        <v>10975</v>
      </c>
      <c r="W22" s="27">
        <v>9350</v>
      </c>
      <c r="X22" s="6">
        <f t="shared" si="9"/>
        <v>14548</v>
      </c>
      <c r="Y22" s="6">
        <f t="shared" si="8"/>
        <v>11900</v>
      </c>
      <c r="Z22" s="12">
        <f t="shared" si="0"/>
        <v>21250</v>
      </c>
      <c r="AA22" s="811">
        <v>0.91999999999999993</v>
      </c>
      <c r="AB22" s="811">
        <v>0.78999999999999992</v>
      </c>
      <c r="AC22" s="836">
        <f t="shared" si="2"/>
        <v>3287.16</v>
      </c>
      <c r="AD22" s="836">
        <f t="shared" si="10"/>
        <v>2822.6699999999996</v>
      </c>
      <c r="AE22" s="811">
        <v>0.91999999999999993</v>
      </c>
      <c r="AF22" s="811">
        <v>0.92999999999999994</v>
      </c>
      <c r="AG22" s="836">
        <f t="shared" si="3"/>
        <v>10097</v>
      </c>
      <c r="AH22" s="836">
        <f t="shared" si="4"/>
        <v>10206.75</v>
      </c>
      <c r="AI22" s="794">
        <f t="shared" si="5"/>
        <v>13384.16</v>
      </c>
      <c r="AJ22" s="794">
        <f t="shared" si="6"/>
        <v>13029.42</v>
      </c>
      <c r="AK22" s="8">
        <v>6690813.4299999997</v>
      </c>
      <c r="AL22" s="9">
        <v>905110</v>
      </c>
      <c r="AM22" s="9">
        <f t="shared" si="1"/>
        <v>7595923.4299999997</v>
      </c>
      <c r="AN22" s="158">
        <v>175960</v>
      </c>
      <c r="AO22" s="158">
        <v>175960</v>
      </c>
      <c r="AP22" s="594">
        <v>0</v>
      </c>
      <c r="AQ22" s="614">
        <v>1518193.61</v>
      </c>
      <c r="AR22" s="614">
        <v>1667974.73</v>
      </c>
      <c r="AS22" s="614">
        <v>1782477.97</v>
      </c>
      <c r="AT22" s="614">
        <v>1722167.12</v>
      </c>
      <c r="AU22" s="614">
        <v>79904.92</v>
      </c>
      <c r="AV22" s="614">
        <v>175958.18</v>
      </c>
      <c r="AW22" s="779">
        <v>202511.66</v>
      </c>
      <c r="AX22" s="776">
        <v>151884</v>
      </c>
      <c r="AY22" s="776">
        <v>50628</v>
      </c>
      <c r="AZ22" s="615">
        <v>446736.62835000001</v>
      </c>
      <c r="BA22" s="668"/>
      <c r="BB22" s="668"/>
      <c r="BC22" s="668"/>
      <c r="BD22" s="668"/>
      <c r="BE22" s="668"/>
      <c r="BF22" s="182"/>
      <c r="BG22" s="182">
        <v>0</v>
      </c>
      <c r="BH22" s="182">
        <f>87980*2</f>
        <v>175960</v>
      </c>
      <c r="BI22" s="11">
        <f>87980*2</f>
        <v>175960</v>
      </c>
      <c r="BJ22" s="181">
        <f t="shared" si="7"/>
        <v>175960</v>
      </c>
      <c r="BK22" s="11"/>
    </row>
    <row r="23" spans="1:63" s="10" customFormat="1" ht="135.94999999999999" customHeight="1" thickBot="1" x14ac:dyDescent="0.3">
      <c r="A23" s="696">
        <v>22</v>
      </c>
      <c r="B23" s="3" t="s">
        <v>96</v>
      </c>
      <c r="C23" s="3" t="s">
        <v>143</v>
      </c>
      <c r="D23" s="3" t="s">
        <v>339</v>
      </c>
      <c r="E23" s="2" t="s">
        <v>1226</v>
      </c>
      <c r="F23" s="16" t="s">
        <v>17</v>
      </c>
      <c r="G23" s="4" t="s">
        <v>145</v>
      </c>
      <c r="H23" s="613" t="s">
        <v>1357</v>
      </c>
      <c r="I23" s="2" t="s">
        <v>144</v>
      </c>
      <c r="J23" s="3" t="s">
        <v>1009</v>
      </c>
      <c r="K23" s="3" t="s">
        <v>99</v>
      </c>
      <c r="L23" s="3" t="s">
        <v>10</v>
      </c>
      <c r="M23" s="14" t="s">
        <v>146</v>
      </c>
      <c r="N23" s="6" t="s">
        <v>147</v>
      </c>
      <c r="O23" s="15" t="s">
        <v>148</v>
      </c>
      <c r="P23" s="17" t="s">
        <v>28</v>
      </c>
      <c r="Q23" s="16" t="s">
        <v>149</v>
      </c>
      <c r="R23" s="16">
        <v>0</v>
      </c>
      <c r="S23" s="12">
        <v>250</v>
      </c>
      <c r="T23" s="12">
        <v>309</v>
      </c>
      <c r="U23" s="3">
        <v>500</v>
      </c>
      <c r="V23" s="3">
        <v>567</v>
      </c>
      <c r="W23" s="3">
        <v>500</v>
      </c>
      <c r="X23" s="6">
        <f t="shared" si="9"/>
        <v>876</v>
      </c>
      <c r="Y23" s="6">
        <f t="shared" si="8"/>
        <v>750</v>
      </c>
      <c r="Z23" s="12">
        <f t="shared" si="0"/>
        <v>1250</v>
      </c>
      <c r="AA23" s="811">
        <v>0.9</v>
      </c>
      <c r="AB23" s="811">
        <v>1</v>
      </c>
      <c r="AC23" s="836">
        <f t="shared" si="2"/>
        <v>278.10000000000002</v>
      </c>
      <c r="AD23" s="836">
        <f t="shared" si="10"/>
        <v>309</v>
      </c>
      <c r="AE23" s="811">
        <v>0.9</v>
      </c>
      <c r="AF23" s="811">
        <v>0.95399999999999996</v>
      </c>
      <c r="AG23" s="836">
        <f t="shared" si="3"/>
        <v>510.3</v>
      </c>
      <c r="AH23" s="836">
        <f t="shared" si="4"/>
        <v>540.91800000000001</v>
      </c>
      <c r="AI23" s="794">
        <f t="shared" si="5"/>
        <v>788.40000000000009</v>
      </c>
      <c r="AJ23" s="794">
        <f t="shared" si="6"/>
        <v>849.91800000000001</v>
      </c>
      <c r="AK23" s="8">
        <v>13168403.42</v>
      </c>
      <c r="AL23" s="9">
        <v>1721798</v>
      </c>
      <c r="AM23" s="9">
        <f t="shared" si="1"/>
        <v>14890201.42</v>
      </c>
      <c r="AN23" s="158">
        <v>344748</v>
      </c>
      <c r="AO23" s="158">
        <v>344748</v>
      </c>
      <c r="AP23" s="594">
        <v>0</v>
      </c>
      <c r="AQ23" s="614">
        <v>2986666.15</v>
      </c>
      <c r="AR23" s="614">
        <v>3283290.27</v>
      </c>
      <c r="AS23" s="614">
        <v>3508546.76</v>
      </c>
      <c r="AT23" s="614">
        <v>3389900.24</v>
      </c>
      <c r="AU23" s="614">
        <v>105006.39999999999</v>
      </c>
      <c r="AV23" s="614">
        <v>344747.68</v>
      </c>
      <c r="AW23" s="779">
        <v>396772</v>
      </c>
      <c r="AX23" s="776">
        <v>198386</v>
      </c>
      <c r="AY23" s="776">
        <v>198386</v>
      </c>
      <c r="AZ23" s="615">
        <v>875272.87554499996</v>
      </c>
      <c r="BA23" s="668"/>
      <c r="BB23" s="668"/>
      <c r="BC23" s="668"/>
      <c r="BD23" s="668"/>
      <c r="BE23" s="668"/>
      <c r="BF23" s="182"/>
      <c r="BG23" s="182">
        <v>0</v>
      </c>
      <c r="BH23" s="182">
        <f>172374*2</f>
        <v>344748</v>
      </c>
      <c r="BI23" s="11">
        <f>172374*2</f>
        <v>344748</v>
      </c>
      <c r="BJ23" s="181">
        <f t="shared" si="7"/>
        <v>344748</v>
      </c>
      <c r="BK23" s="11"/>
    </row>
    <row r="24" spans="1:63" s="10" customFormat="1" ht="137.1" customHeight="1" thickBot="1" x14ac:dyDescent="0.3">
      <c r="A24" s="1">
        <v>23</v>
      </c>
      <c r="B24" s="209" t="s">
        <v>96</v>
      </c>
      <c r="C24" s="156" t="s">
        <v>150</v>
      </c>
      <c r="D24" s="156" t="s">
        <v>339</v>
      </c>
      <c r="E24" s="156" t="s">
        <v>1226</v>
      </c>
      <c r="F24" s="157" t="s">
        <v>17</v>
      </c>
      <c r="G24" s="607" t="s">
        <v>152</v>
      </c>
      <c r="H24" s="641" t="s">
        <v>1358</v>
      </c>
      <c r="I24" s="698" t="s">
        <v>151</v>
      </c>
      <c r="J24" s="630" t="s">
        <v>1000</v>
      </c>
      <c r="K24" s="627" t="s">
        <v>99</v>
      </c>
      <c r="L24" s="627" t="s">
        <v>10</v>
      </c>
      <c r="M24" s="630" t="s">
        <v>153</v>
      </c>
      <c r="N24" s="630" t="s">
        <v>154</v>
      </c>
      <c r="O24" s="630" t="s">
        <v>1059</v>
      </c>
      <c r="P24" s="735" t="s">
        <v>28</v>
      </c>
      <c r="Q24" s="642" t="s">
        <v>149</v>
      </c>
      <c r="R24" s="642">
        <v>2207</v>
      </c>
      <c r="S24" s="630">
        <v>250</v>
      </c>
      <c r="T24" s="630">
        <v>578</v>
      </c>
      <c r="U24" s="627">
        <v>500</v>
      </c>
      <c r="V24" s="627">
        <v>404</v>
      </c>
      <c r="W24" s="627">
        <v>579</v>
      </c>
      <c r="X24" s="6">
        <f t="shared" si="9"/>
        <v>982</v>
      </c>
      <c r="Y24" s="6">
        <f t="shared" si="8"/>
        <v>750</v>
      </c>
      <c r="Z24" s="12">
        <f t="shared" si="0"/>
        <v>1329</v>
      </c>
      <c r="AA24" s="814">
        <v>0.9</v>
      </c>
      <c r="AB24" s="814">
        <v>0.97</v>
      </c>
      <c r="AC24" s="836">
        <f t="shared" si="2"/>
        <v>520.20000000000005</v>
      </c>
      <c r="AD24" s="836">
        <f t="shared" si="10"/>
        <v>560.66</v>
      </c>
      <c r="AE24" s="814">
        <v>0.9</v>
      </c>
      <c r="AF24" s="814">
        <v>0.8919999999999999</v>
      </c>
      <c r="AG24" s="836">
        <f t="shared" si="3"/>
        <v>363.6</v>
      </c>
      <c r="AH24" s="836">
        <f t="shared" si="4"/>
        <v>360.36799999999994</v>
      </c>
      <c r="AI24" s="794">
        <f t="shared" si="5"/>
        <v>883.80000000000007</v>
      </c>
      <c r="AJ24" s="794">
        <f t="shared" si="6"/>
        <v>921.02799999999991</v>
      </c>
      <c r="AK24" s="708">
        <v>13168403.42</v>
      </c>
      <c r="AL24" s="631">
        <v>1773984</v>
      </c>
      <c r="AM24" s="631">
        <f t="shared" si="1"/>
        <v>14942387.42</v>
      </c>
      <c r="AN24" s="635">
        <v>344748</v>
      </c>
      <c r="AO24" s="635">
        <v>344748</v>
      </c>
      <c r="AP24" s="599">
        <v>0</v>
      </c>
      <c r="AQ24" s="628">
        <v>2986666.15</v>
      </c>
      <c r="AR24" s="628">
        <v>3283290.27</v>
      </c>
      <c r="AS24" s="628">
        <v>3508546.76</v>
      </c>
      <c r="AT24" s="628">
        <v>3389900.24</v>
      </c>
      <c r="AU24" s="628">
        <v>157192.95999999999</v>
      </c>
      <c r="AV24" s="628">
        <v>344747.68</v>
      </c>
      <c r="AW24" s="779">
        <v>396772</v>
      </c>
      <c r="AX24" s="779">
        <v>396772</v>
      </c>
      <c r="AY24" s="779">
        <v>0</v>
      </c>
      <c r="AZ24" s="643">
        <v>875272.87554499996</v>
      </c>
      <c r="BA24" s="668"/>
      <c r="BB24" s="668"/>
      <c r="BC24" s="668"/>
      <c r="BD24" s="668"/>
      <c r="BE24" s="668"/>
      <c r="BF24" s="182"/>
      <c r="BG24" s="182">
        <v>0</v>
      </c>
      <c r="BH24" s="182">
        <f t="shared" ref="BH24:BH26" si="11">172374*2</f>
        <v>344748</v>
      </c>
      <c r="BI24" s="11">
        <f>172374*2</f>
        <v>344748</v>
      </c>
      <c r="BJ24" s="181">
        <f t="shared" si="7"/>
        <v>344748</v>
      </c>
      <c r="BK24" s="11"/>
    </row>
    <row r="25" spans="1:63" s="10" customFormat="1" ht="138.94999999999999" customHeight="1" thickBot="1" x14ac:dyDescent="0.3">
      <c r="A25" s="1">
        <v>24</v>
      </c>
      <c r="B25" s="3" t="s">
        <v>96</v>
      </c>
      <c r="C25" s="3" t="s">
        <v>155</v>
      </c>
      <c r="D25" s="3" t="s">
        <v>339</v>
      </c>
      <c r="E25" s="2" t="s">
        <v>1226</v>
      </c>
      <c r="F25" s="16" t="s">
        <v>17</v>
      </c>
      <c r="G25" s="50" t="s">
        <v>157</v>
      </c>
      <c r="H25" s="613" t="s">
        <v>1359</v>
      </c>
      <c r="I25" s="2" t="s">
        <v>156</v>
      </c>
      <c r="J25" s="16" t="s">
        <v>1000</v>
      </c>
      <c r="K25" s="2" t="s">
        <v>99</v>
      </c>
      <c r="L25" s="3" t="s">
        <v>10</v>
      </c>
      <c r="M25" s="14" t="s">
        <v>158</v>
      </c>
      <c r="N25" s="6" t="s">
        <v>159</v>
      </c>
      <c r="O25" s="15" t="s">
        <v>1060</v>
      </c>
      <c r="P25" s="5" t="s">
        <v>28</v>
      </c>
      <c r="Q25" s="16" t="s">
        <v>149</v>
      </c>
      <c r="R25" s="16">
        <v>3540</v>
      </c>
      <c r="S25" s="12">
        <v>250</v>
      </c>
      <c r="T25" s="12">
        <v>332</v>
      </c>
      <c r="U25" s="3">
        <v>500</v>
      </c>
      <c r="V25" s="3">
        <v>569</v>
      </c>
      <c r="W25" s="3">
        <v>500</v>
      </c>
      <c r="X25" s="6">
        <f t="shared" si="9"/>
        <v>901</v>
      </c>
      <c r="Y25" s="6">
        <f t="shared" si="8"/>
        <v>750</v>
      </c>
      <c r="Z25" s="12">
        <f t="shared" si="0"/>
        <v>1250</v>
      </c>
      <c r="AA25" s="811">
        <v>0.9</v>
      </c>
      <c r="AB25" s="811">
        <v>0.94</v>
      </c>
      <c r="AC25" s="836">
        <f t="shared" si="2"/>
        <v>298.8</v>
      </c>
      <c r="AD25" s="836">
        <f t="shared" si="10"/>
        <v>312.08</v>
      </c>
      <c r="AE25" s="811">
        <v>0.9</v>
      </c>
      <c r="AF25" s="811">
        <v>0.89900000000000002</v>
      </c>
      <c r="AG25" s="836">
        <f t="shared" si="3"/>
        <v>512.1</v>
      </c>
      <c r="AH25" s="836">
        <f t="shared" si="4"/>
        <v>511.53100000000001</v>
      </c>
      <c r="AI25" s="794">
        <f t="shared" si="5"/>
        <v>810.90000000000009</v>
      </c>
      <c r="AJ25" s="794">
        <f t="shared" si="6"/>
        <v>823.61099999999999</v>
      </c>
      <c r="AK25" s="8">
        <v>13168403.42</v>
      </c>
      <c r="AL25" s="9">
        <v>1773984</v>
      </c>
      <c r="AM25" s="9">
        <f t="shared" si="1"/>
        <v>14942387.42</v>
      </c>
      <c r="AN25" s="158">
        <v>344748</v>
      </c>
      <c r="AO25" s="158">
        <v>344748</v>
      </c>
      <c r="AP25" s="594">
        <v>0</v>
      </c>
      <c r="AQ25" s="614">
        <v>2986666.15</v>
      </c>
      <c r="AR25" s="614">
        <v>3283290.27</v>
      </c>
      <c r="AS25" s="614">
        <v>3508546.76</v>
      </c>
      <c r="AT25" s="614">
        <v>3389900.24</v>
      </c>
      <c r="AU25" s="614">
        <v>157192.95999999999</v>
      </c>
      <c r="AV25" s="614">
        <v>344747.68</v>
      </c>
      <c r="AW25" s="779">
        <v>396772</v>
      </c>
      <c r="AX25" s="776">
        <v>396772</v>
      </c>
      <c r="AY25" s="776">
        <v>0</v>
      </c>
      <c r="AZ25" s="615">
        <v>875272.87554499996</v>
      </c>
      <c r="BA25" s="668"/>
      <c r="BB25" s="668"/>
      <c r="BC25" s="668"/>
      <c r="BD25" s="668"/>
      <c r="BE25" s="668"/>
      <c r="BF25" s="182"/>
      <c r="BG25" s="182">
        <v>0</v>
      </c>
      <c r="BH25" s="182">
        <f t="shared" si="11"/>
        <v>344748</v>
      </c>
      <c r="BI25" s="11">
        <f t="shared" ref="BI25:BI26" si="12">172374*2</f>
        <v>344748</v>
      </c>
      <c r="BJ25" s="181">
        <f t="shared" si="7"/>
        <v>344748</v>
      </c>
      <c r="BK25" s="11"/>
    </row>
    <row r="26" spans="1:63" s="10" customFormat="1" ht="138.94999999999999" customHeight="1" thickBot="1" x14ac:dyDescent="0.3">
      <c r="A26" s="1">
        <v>25</v>
      </c>
      <c r="B26" s="3" t="s">
        <v>96</v>
      </c>
      <c r="C26" s="3" t="s">
        <v>160</v>
      </c>
      <c r="D26" s="3" t="s">
        <v>339</v>
      </c>
      <c r="E26" s="2" t="s">
        <v>1226</v>
      </c>
      <c r="F26" s="16" t="s">
        <v>17</v>
      </c>
      <c r="G26" s="4" t="s">
        <v>162</v>
      </c>
      <c r="H26" s="613" t="s">
        <v>1360</v>
      </c>
      <c r="I26" s="2" t="s">
        <v>161</v>
      </c>
      <c r="J26" s="16" t="s">
        <v>1000</v>
      </c>
      <c r="K26" s="3" t="s">
        <v>99</v>
      </c>
      <c r="L26" s="3" t="s">
        <v>10</v>
      </c>
      <c r="M26" s="14" t="s">
        <v>163</v>
      </c>
      <c r="N26" s="6" t="s">
        <v>164</v>
      </c>
      <c r="O26" s="15" t="s">
        <v>1061</v>
      </c>
      <c r="P26" s="5" t="s">
        <v>28</v>
      </c>
      <c r="Q26" s="2" t="s">
        <v>149</v>
      </c>
      <c r="R26" s="2">
        <v>0</v>
      </c>
      <c r="S26" s="12">
        <v>500</v>
      </c>
      <c r="T26" s="12">
        <v>0</v>
      </c>
      <c r="U26" s="3">
        <v>500</v>
      </c>
      <c r="V26" s="3">
        <v>0</v>
      </c>
      <c r="W26" s="3">
        <v>500</v>
      </c>
      <c r="X26" s="6">
        <f t="shared" si="9"/>
        <v>0</v>
      </c>
      <c r="Y26" s="6">
        <f t="shared" si="8"/>
        <v>1000</v>
      </c>
      <c r="Z26" s="12">
        <f t="shared" si="0"/>
        <v>1500</v>
      </c>
      <c r="AA26" s="811">
        <v>0.9</v>
      </c>
      <c r="AB26" s="811">
        <v>1</v>
      </c>
      <c r="AC26" s="836">
        <f t="shared" si="2"/>
        <v>0</v>
      </c>
      <c r="AD26" s="836">
        <f t="shared" si="10"/>
        <v>0</v>
      </c>
      <c r="AE26" s="811">
        <v>0.9</v>
      </c>
      <c r="AF26" s="811">
        <v>0.91100000000000003</v>
      </c>
      <c r="AG26" s="836">
        <f t="shared" si="3"/>
        <v>0</v>
      </c>
      <c r="AH26" s="836">
        <f t="shared" si="4"/>
        <v>0</v>
      </c>
      <c r="AI26" s="794">
        <f t="shared" si="5"/>
        <v>0</v>
      </c>
      <c r="AJ26" s="794">
        <f t="shared" si="6"/>
        <v>0</v>
      </c>
      <c r="AK26" s="8">
        <v>13168403.42</v>
      </c>
      <c r="AL26" s="9">
        <v>1773984</v>
      </c>
      <c r="AM26" s="9">
        <f t="shared" si="1"/>
        <v>14942387.42</v>
      </c>
      <c r="AN26" s="158">
        <v>344748</v>
      </c>
      <c r="AO26" s="158">
        <v>344748</v>
      </c>
      <c r="AP26" s="594">
        <v>0</v>
      </c>
      <c r="AQ26" s="614">
        <v>2986666.15</v>
      </c>
      <c r="AR26" s="614">
        <v>3283290.27</v>
      </c>
      <c r="AS26" s="614">
        <v>3508546.76</v>
      </c>
      <c r="AT26" s="614">
        <v>3389900.24</v>
      </c>
      <c r="AU26" s="614">
        <v>157192.95999999999</v>
      </c>
      <c r="AV26" s="614">
        <v>344747.68</v>
      </c>
      <c r="AW26" s="779">
        <v>396772</v>
      </c>
      <c r="AX26" s="776">
        <v>396772</v>
      </c>
      <c r="AY26" s="776">
        <v>0</v>
      </c>
      <c r="AZ26" s="615">
        <v>875272.87554499984</v>
      </c>
      <c r="BA26" s="668"/>
      <c r="BB26" s="668"/>
      <c r="BC26" s="668"/>
      <c r="BD26" s="668"/>
      <c r="BE26" s="668"/>
      <c r="BF26" s="182"/>
      <c r="BG26" s="182">
        <v>0</v>
      </c>
      <c r="BH26" s="182">
        <f t="shared" si="11"/>
        <v>344748</v>
      </c>
      <c r="BI26" s="11">
        <f t="shared" si="12"/>
        <v>344748</v>
      </c>
      <c r="BJ26" s="181">
        <f t="shared" si="7"/>
        <v>344748</v>
      </c>
      <c r="BK26" s="11"/>
    </row>
    <row r="27" spans="1:63" s="10" customFormat="1" ht="120.95" customHeight="1" thickBot="1" x14ac:dyDescent="0.3">
      <c r="A27" s="632">
        <v>26</v>
      </c>
      <c r="B27" s="209" t="s">
        <v>96</v>
      </c>
      <c r="C27" s="156" t="s">
        <v>165</v>
      </c>
      <c r="D27" s="156" t="s">
        <v>339</v>
      </c>
      <c r="E27" s="156" t="s">
        <v>1227</v>
      </c>
      <c r="F27" s="157" t="s">
        <v>8</v>
      </c>
      <c r="G27" s="607" t="s">
        <v>167</v>
      </c>
      <c r="H27" s="636" t="s">
        <v>1361</v>
      </c>
      <c r="I27" s="209" t="s">
        <v>166</v>
      </c>
      <c r="J27" s="157" t="s">
        <v>1006</v>
      </c>
      <c r="K27" s="157" t="s">
        <v>185</v>
      </c>
      <c r="L27" s="156" t="s">
        <v>10</v>
      </c>
      <c r="M27" s="611" t="s">
        <v>168</v>
      </c>
      <c r="N27" s="612" t="s">
        <v>169</v>
      </c>
      <c r="O27" s="633" t="s">
        <v>170</v>
      </c>
      <c r="P27" s="626" t="s">
        <v>28</v>
      </c>
      <c r="Q27" s="644" t="s">
        <v>171</v>
      </c>
      <c r="R27" s="644">
        <v>0</v>
      </c>
      <c r="S27" s="157">
        <v>1100</v>
      </c>
      <c r="T27" s="157">
        <v>0</v>
      </c>
      <c r="U27" s="157">
        <v>1100</v>
      </c>
      <c r="V27" s="157">
        <v>0</v>
      </c>
      <c r="W27" s="742">
        <v>1100</v>
      </c>
      <c r="X27" s="6">
        <f t="shared" si="9"/>
        <v>0</v>
      </c>
      <c r="Y27" s="6">
        <f t="shared" si="8"/>
        <v>2200</v>
      </c>
      <c r="Z27" s="12">
        <f t="shared" si="0"/>
        <v>3300</v>
      </c>
      <c r="AA27" s="815">
        <v>0.87999999999999989</v>
      </c>
      <c r="AB27" s="815">
        <v>0.95</v>
      </c>
      <c r="AC27" s="836">
        <f t="shared" si="2"/>
        <v>0</v>
      </c>
      <c r="AD27" s="836">
        <f t="shared" si="10"/>
        <v>0</v>
      </c>
      <c r="AE27" s="815">
        <v>0.87999999999999989</v>
      </c>
      <c r="AF27" s="815">
        <v>0.85400000000000009</v>
      </c>
      <c r="AG27" s="836">
        <f t="shared" si="3"/>
        <v>0</v>
      </c>
      <c r="AH27" s="836">
        <f t="shared" si="4"/>
        <v>0</v>
      </c>
      <c r="AI27" s="794">
        <f t="shared" si="5"/>
        <v>0</v>
      </c>
      <c r="AJ27" s="794">
        <f t="shared" si="6"/>
        <v>0</v>
      </c>
      <c r="AK27" s="608">
        <v>12561090.449999999</v>
      </c>
      <c r="AL27" s="609">
        <v>1699326</v>
      </c>
      <c r="AM27" s="609">
        <f t="shared" si="1"/>
        <v>14260416.449999999</v>
      </c>
      <c r="AN27" s="224">
        <v>331064</v>
      </c>
      <c r="AO27" s="224">
        <v>331064</v>
      </c>
      <c r="AP27" s="597">
        <v>0</v>
      </c>
      <c r="AQ27" s="614">
        <v>2787585.44</v>
      </c>
      <c r="AR27" s="614">
        <v>3128537.48</v>
      </c>
      <c r="AS27" s="614">
        <v>3385516.6</v>
      </c>
      <c r="AT27" s="614">
        <v>3259450.93</v>
      </c>
      <c r="AU27" s="614">
        <v>146715.01999999999</v>
      </c>
      <c r="AV27" s="614">
        <v>331062.03999999998</v>
      </c>
      <c r="AW27" s="779">
        <v>381021.92</v>
      </c>
      <c r="AX27" s="776">
        <v>285766</v>
      </c>
      <c r="AY27" s="776">
        <v>95225</v>
      </c>
      <c r="AZ27" s="615">
        <v>840526.69334</v>
      </c>
      <c r="BA27" s="668"/>
      <c r="BB27" s="668"/>
      <c r="BC27" s="668"/>
      <c r="BD27" s="668"/>
      <c r="BE27" s="668"/>
      <c r="BF27" s="182"/>
      <c r="BG27" s="182">
        <v>0</v>
      </c>
      <c r="BH27" s="182">
        <f>165532*2</f>
        <v>331064</v>
      </c>
      <c r="BI27" s="11">
        <f>165532*2</f>
        <v>331064</v>
      </c>
      <c r="BJ27" s="181">
        <f t="shared" si="7"/>
        <v>331064</v>
      </c>
      <c r="BK27" s="11"/>
    </row>
    <row r="28" spans="1:63" s="11" customFormat="1" ht="150.75" thickBot="1" x14ac:dyDescent="0.3">
      <c r="A28" s="34">
        <v>27</v>
      </c>
      <c r="B28" s="3" t="s">
        <v>96</v>
      </c>
      <c r="C28" s="3" t="s">
        <v>172</v>
      </c>
      <c r="D28" s="3" t="s">
        <v>339</v>
      </c>
      <c r="E28" s="3" t="s">
        <v>1226</v>
      </c>
      <c r="F28" s="12" t="s">
        <v>17</v>
      </c>
      <c r="G28" s="4" t="s">
        <v>173</v>
      </c>
      <c r="H28" s="613" t="s">
        <v>1362</v>
      </c>
      <c r="I28" s="2" t="s">
        <v>1041</v>
      </c>
      <c r="J28" s="12" t="s">
        <v>1005</v>
      </c>
      <c r="K28" s="12" t="s">
        <v>1181</v>
      </c>
      <c r="L28" s="3" t="s">
        <v>10</v>
      </c>
      <c r="M28" s="14" t="s">
        <v>174</v>
      </c>
      <c r="N28" s="6" t="s">
        <v>175</v>
      </c>
      <c r="O28" s="15" t="s">
        <v>176</v>
      </c>
      <c r="P28" s="5" t="s">
        <v>28</v>
      </c>
      <c r="Q28" s="16" t="s">
        <v>177</v>
      </c>
      <c r="R28" s="16">
        <v>54</v>
      </c>
      <c r="S28" s="12">
        <v>209</v>
      </c>
      <c r="T28" s="12">
        <v>54</v>
      </c>
      <c r="U28" s="3">
        <v>209</v>
      </c>
      <c r="V28" s="3">
        <v>54</v>
      </c>
      <c r="W28" s="3">
        <v>209</v>
      </c>
      <c r="X28" s="6">
        <f t="shared" si="9"/>
        <v>108</v>
      </c>
      <c r="Y28" s="6">
        <f t="shared" si="8"/>
        <v>418</v>
      </c>
      <c r="Z28" s="12">
        <f t="shared" si="0"/>
        <v>627</v>
      </c>
      <c r="AA28" s="811">
        <v>0.89</v>
      </c>
      <c r="AB28" s="811">
        <v>0.96000000000000008</v>
      </c>
      <c r="AC28" s="836">
        <f t="shared" si="2"/>
        <v>48.06</v>
      </c>
      <c r="AD28" s="836">
        <f t="shared" si="10"/>
        <v>51.84</v>
      </c>
      <c r="AE28" s="811">
        <v>0.89</v>
      </c>
      <c r="AF28" s="811">
        <v>0.68</v>
      </c>
      <c r="AG28" s="836">
        <f t="shared" si="3"/>
        <v>48.06</v>
      </c>
      <c r="AH28" s="836">
        <f t="shared" si="4"/>
        <v>36.720000000000006</v>
      </c>
      <c r="AI28" s="794">
        <f t="shared" si="5"/>
        <v>96.12</v>
      </c>
      <c r="AJ28" s="794">
        <f t="shared" si="6"/>
        <v>88.56</v>
      </c>
      <c r="AK28" s="8">
        <v>6586745.1500000004</v>
      </c>
      <c r="AL28" s="9">
        <v>894968</v>
      </c>
      <c r="AM28" s="36">
        <f t="shared" si="1"/>
        <v>7481713.1500000004</v>
      </c>
      <c r="AN28" s="158">
        <v>130992</v>
      </c>
      <c r="AO28" s="158">
        <v>174656</v>
      </c>
      <c r="AP28" s="594">
        <v>43664</v>
      </c>
      <c r="AQ28" s="614">
        <v>1441604.23</v>
      </c>
      <c r="AR28" s="614">
        <v>1636570.08</v>
      </c>
      <c r="AS28" s="614">
        <v>1788407.16</v>
      </c>
      <c r="AT28" s="614">
        <v>1720163.68</v>
      </c>
      <c r="AU28" s="614">
        <v>75873.91</v>
      </c>
      <c r="AV28" s="614">
        <v>174654.78</v>
      </c>
      <c r="AW28" s="779">
        <v>201011.58</v>
      </c>
      <c r="AX28" s="776">
        <v>201012</v>
      </c>
      <c r="AY28" s="776">
        <v>0</v>
      </c>
      <c r="AZ28" s="615">
        <v>443427.46813999995</v>
      </c>
      <c r="BA28" s="668"/>
      <c r="BB28" s="668"/>
      <c r="BC28" s="668"/>
      <c r="BD28" s="668"/>
      <c r="BE28" s="668"/>
      <c r="BF28" s="182"/>
      <c r="BG28" s="182">
        <v>0</v>
      </c>
      <c r="BH28" s="244">
        <f>87328+43664</f>
        <v>130992</v>
      </c>
      <c r="BI28" s="246">
        <f>87328*2</f>
        <v>174656</v>
      </c>
      <c r="BJ28" s="245">
        <f t="shared" si="7"/>
        <v>130992</v>
      </c>
    </row>
    <row r="29" spans="1:63" s="10" customFormat="1" ht="150.75" thickBot="1" x14ac:dyDescent="0.3">
      <c r="A29" s="1">
        <v>28</v>
      </c>
      <c r="B29" s="3" t="s">
        <v>96</v>
      </c>
      <c r="C29" s="3" t="s">
        <v>178</v>
      </c>
      <c r="D29" s="3" t="s">
        <v>339</v>
      </c>
      <c r="E29" s="2" t="s">
        <v>1230</v>
      </c>
      <c r="F29" s="16" t="s">
        <v>51</v>
      </c>
      <c r="G29" s="4" t="s">
        <v>181</v>
      </c>
      <c r="H29" s="613" t="s">
        <v>1363</v>
      </c>
      <c r="I29" s="58" t="s">
        <v>179</v>
      </c>
      <c r="J29" s="16" t="s">
        <v>1000</v>
      </c>
      <c r="K29" s="12" t="s">
        <v>180</v>
      </c>
      <c r="L29" s="3" t="s">
        <v>10</v>
      </c>
      <c r="M29" s="12" t="s">
        <v>1057</v>
      </c>
      <c r="N29" s="12" t="s">
        <v>1057</v>
      </c>
      <c r="O29" s="12" t="s">
        <v>1058</v>
      </c>
      <c r="P29" s="17" t="s">
        <v>28</v>
      </c>
      <c r="Q29" s="16" t="s">
        <v>182</v>
      </c>
      <c r="R29" s="16">
        <v>0</v>
      </c>
      <c r="S29" s="12">
        <v>1400</v>
      </c>
      <c r="T29" s="12">
        <v>0</v>
      </c>
      <c r="U29" s="12">
        <v>1400</v>
      </c>
      <c r="V29" s="12">
        <v>0</v>
      </c>
      <c r="W29" s="21">
        <v>1400</v>
      </c>
      <c r="X29" s="6">
        <f t="shared" si="9"/>
        <v>0</v>
      </c>
      <c r="Y29" s="6">
        <f t="shared" si="8"/>
        <v>2800</v>
      </c>
      <c r="Z29" s="12">
        <f t="shared" si="0"/>
        <v>4200</v>
      </c>
      <c r="AA29" s="811">
        <v>0.9</v>
      </c>
      <c r="AB29" s="811">
        <v>0</v>
      </c>
      <c r="AC29" s="836">
        <f t="shared" si="2"/>
        <v>0</v>
      </c>
      <c r="AD29" s="836">
        <f t="shared" si="10"/>
        <v>0</v>
      </c>
      <c r="AE29" s="811">
        <v>0.9</v>
      </c>
      <c r="AF29" s="811">
        <v>0.74</v>
      </c>
      <c r="AG29" s="836">
        <f t="shared" si="3"/>
        <v>0</v>
      </c>
      <c r="AH29" s="836">
        <f t="shared" si="4"/>
        <v>0</v>
      </c>
      <c r="AI29" s="794">
        <f t="shared" si="5"/>
        <v>0</v>
      </c>
      <c r="AJ29" s="794">
        <f t="shared" si="6"/>
        <v>0</v>
      </c>
      <c r="AK29" s="8">
        <v>19142531.77</v>
      </c>
      <c r="AL29" s="9">
        <v>839770</v>
      </c>
      <c r="AM29" s="9">
        <f t="shared" si="1"/>
        <v>19982301.77</v>
      </c>
      <c r="AN29" s="158">
        <v>65170</v>
      </c>
      <c r="AO29" s="158">
        <v>130340</v>
      </c>
      <c r="AP29" s="594">
        <v>65170</v>
      </c>
      <c r="AQ29" s="614">
        <v>4341631.2300000004</v>
      </c>
      <c r="AR29" s="614">
        <v>4772825.25</v>
      </c>
      <c r="AS29" s="614">
        <v>5100274.17</v>
      </c>
      <c r="AT29" s="614">
        <v>4927801.12</v>
      </c>
      <c r="AU29" s="614">
        <v>228506.9</v>
      </c>
      <c r="AV29" s="614">
        <v>130339.4</v>
      </c>
      <c r="AW29" s="779">
        <v>150008</v>
      </c>
      <c r="AX29" s="776">
        <v>0</v>
      </c>
      <c r="AY29" s="776">
        <v>150008</v>
      </c>
      <c r="AZ29" s="615">
        <v>330916.02100000001</v>
      </c>
      <c r="BA29" s="668"/>
      <c r="BB29" s="668"/>
      <c r="BC29" s="668"/>
      <c r="BD29" s="668"/>
      <c r="BE29" s="668"/>
      <c r="BF29" s="182"/>
      <c r="BG29" s="182">
        <v>0</v>
      </c>
      <c r="BH29" s="244">
        <f>32585*2</f>
        <v>65170</v>
      </c>
      <c r="BI29" s="246">
        <f>65170*2</f>
        <v>130340</v>
      </c>
      <c r="BJ29" s="245">
        <f t="shared" si="7"/>
        <v>65170</v>
      </c>
      <c r="BK29" s="11"/>
    </row>
    <row r="30" spans="1:63" s="10" customFormat="1" ht="345.95" customHeight="1" thickBot="1" x14ac:dyDescent="0.3">
      <c r="A30" s="1">
        <v>29</v>
      </c>
      <c r="B30" s="3" t="s">
        <v>96</v>
      </c>
      <c r="C30" s="3" t="s">
        <v>183</v>
      </c>
      <c r="D30" s="3" t="s">
        <v>339</v>
      </c>
      <c r="E30" s="3" t="s">
        <v>1229</v>
      </c>
      <c r="F30" s="12" t="s">
        <v>8</v>
      </c>
      <c r="G30" s="4" t="s">
        <v>186</v>
      </c>
      <c r="H30" s="4" t="s">
        <v>1364</v>
      </c>
      <c r="I30" s="2" t="s">
        <v>184</v>
      </c>
      <c r="J30" s="12" t="s">
        <v>1006</v>
      </c>
      <c r="K30" s="3" t="s">
        <v>185</v>
      </c>
      <c r="L30" s="3" t="s">
        <v>10</v>
      </c>
      <c r="M30" s="14" t="s">
        <v>187</v>
      </c>
      <c r="N30" s="6" t="s">
        <v>188</v>
      </c>
      <c r="O30" s="15" t="s">
        <v>1062</v>
      </c>
      <c r="P30" s="17" t="s">
        <v>189</v>
      </c>
      <c r="Q30" s="16" t="s">
        <v>190</v>
      </c>
      <c r="R30" s="16">
        <v>30</v>
      </c>
      <c r="S30" s="12">
        <v>30</v>
      </c>
      <c r="T30" s="12">
        <v>30</v>
      </c>
      <c r="U30" s="12">
        <v>30</v>
      </c>
      <c r="V30" s="12">
        <v>30</v>
      </c>
      <c r="W30" s="12">
        <v>30</v>
      </c>
      <c r="X30" s="6">
        <f t="shared" si="9"/>
        <v>60</v>
      </c>
      <c r="Y30" s="6">
        <f t="shared" si="8"/>
        <v>60</v>
      </c>
      <c r="Z30" s="12">
        <f t="shared" si="0"/>
        <v>90</v>
      </c>
      <c r="AA30" s="811">
        <v>0.91999999999999993</v>
      </c>
      <c r="AB30" s="811">
        <v>0.5</v>
      </c>
      <c r="AC30" s="836">
        <f t="shared" si="2"/>
        <v>27.599999999999998</v>
      </c>
      <c r="AD30" s="836">
        <f t="shared" si="10"/>
        <v>15</v>
      </c>
      <c r="AE30" s="811">
        <v>0.91999999999999993</v>
      </c>
      <c r="AF30" s="811">
        <v>0.87999999999999989</v>
      </c>
      <c r="AG30" s="836">
        <f t="shared" si="3"/>
        <v>27.599999999999998</v>
      </c>
      <c r="AH30" s="836">
        <f t="shared" si="4"/>
        <v>26.4</v>
      </c>
      <c r="AI30" s="794">
        <f t="shared" si="5"/>
        <v>55.199999999999996</v>
      </c>
      <c r="AJ30" s="794">
        <f t="shared" si="6"/>
        <v>41.4</v>
      </c>
      <c r="AK30" s="22">
        <v>752998.8</v>
      </c>
      <c r="AL30" s="9">
        <v>611264</v>
      </c>
      <c r="AM30" s="9">
        <f t="shared" si="1"/>
        <v>1364262.8</v>
      </c>
      <c r="AN30" s="158">
        <v>130340</v>
      </c>
      <c r="AO30" s="158">
        <v>130340</v>
      </c>
      <c r="AP30" s="594">
        <v>0</v>
      </c>
      <c r="AQ30" s="158" t="s">
        <v>1336</v>
      </c>
      <c r="AR30" s="620">
        <v>210139.2</v>
      </c>
      <c r="AS30" s="620">
        <v>262674</v>
      </c>
      <c r="AT30" s="620">
        <v>280185.60000000003</v>
      </c>
      <c r="AU30" s="158" t="s">
        <v>1336</v>
      </c>
      <c r="AV30" s="620">
        <v>130339.4</v>
      </c>
      <c r="AW30" s="782">
        <v>150008</v>
      </c>
      <c r="AX30" s="778">
        <v>150008</v>
      </c>
      <c r="AY30" s="778">
        <v>0</v>
      </c>
      <c r="AZ30" s="622">
        <v>330916.02099999995</v>
      </c>
      <c r="BA30" s="669"/>
      <c r="BB30" s="669"/>
      <c r="BC30" s="669"/>
      <c r="BD30" s="669"/>
      <c r="BE30" s="669"/>
      <c r="BF30" s="182"/>
      <c r="BG30" s="182">
        <v>0</v>
      </c>
      <c r="BH30" s="182">
        <f>65170*2</f>
        <v>130340</v>
      </c>
      <c r="BI30" s="11">
        <f>65170*2</f>
        <v>130340</v>
      </c>
      <c r="BJ30" s="181">
        <f t="shared" si="7"/>
        <v>130340</v>
      </c>
      <c r="BK30" s="11"/>
    </row>
    <row r="31" spans="1:63" s="10" customFormat="1" ht="258" customHeight="1" thickBot="1" x14ac:dyDescent="0.3">
      <c r="A31" s="1">
        <v>30</v>
      </c>
      <c r="B31" s="3" t="s">
        <v>96</v>
      </c>
      <c r="C31" s="3" t="s">
        <v>191</v>
      </c>
      <c r="D31" s="3" t="s">
        <v>339</v>
      </c>
      <c r="E31" s="2" t="s">
        <v>1229</v>
      </c>
      <c r="F31" s="16" t="s">
        <v>8</v>
      </c>
      <c r="G31" s="4" t="s">
        <v>193</v>
      </c>
      <c r="H31" s="4" t="s">
        <v>1365</v>
      </c>
      <c r="I31" s="2" t="s">
        <v>192</v>
      </c>
      <c r="J31" s="16" t="s">
        <v>1006</v>
      </c>
      <c r="K31" s="3" t="s">
        <v>115</v>
      </c>
      <c r="L31" s="3" t="s">
        <v>10</v>
      </c>
      <c r="M31" s="14" t="s">
        <v>194</v>
      </c>
      <c r="N31" s="6" t="s">
        <v>195</v>
      </c>
      <c r="O31" s="15" t="s">
        <v>196</v>
      </c>
      <c r="P31" s="17" t="s">
        <v>189</v>
      </c>
      <c r="Q31" s="16" t="s">
        <v>190</v>
      </c>
      <c r="R31" s="16">
        <v>997</v>
      </c>
      <c r="S31" s="12">
        <v>729</v>
      </c>
      <c r="T31" s="12">
        <v>997</v>
      </c>
      <c r="U31" s="12">
        <v>729</v>
      </c>
      <c r="V31" s="12">
        <v>997</v>
      </c>
      <c r="W31" s="12">
        <v>729</v>
      </c>
      <c r="X31" s="6">
        <f t="shared" si="9"/>
        <v>1994</v>
      </c>
      <c r="Y31" s="6">
        <f t="shared" si="8"/>
        <v>1458</v>
      </c>
      <c r="Z31" s="12">
        <f t="shared" si="0"/>
        <v>2187</v>
      </c>
      <c r="AA31" s="811">
        <v>0.91999999999999993</v>
      </c>
      <c r="AB31" s="811">
        <v>0.91999999999999993</v>
      </c>
      <c r="AC31" s="836">
        <f t="shared" si="2"/>
        <v>917.2399999999999</v>
      </c>
      <c r="AD31" s="836">
        <f t="shared" si="10"/>
        <v>917.2399999999999</v>
      </c>
      <c r="AE31" s="811">
        <v>0.91999999999999993</v>
      </c>
      <c r="AF31" s="811">
        <v>0.86799999999999999</v>
      </c>
      <c r="AG31" s="836">
        <f t="shared" si="3"/>
        <v>917.2399999999999</v>
      </c>
      <c r="AH31" s="836">
        <f t="shared" si="4"/>
        <v>865.39599999999996</v>
      </c>
      <c r="AI31" s="794">
        <f t="shared" si="5"/>
        <v>1834.4799999999998</v>
      </c>
      <c r="AJ31" s="794">
        <f t="shared" si="6"/>
        <v>1782.636</v>
      </c>
      <c r="AK31" s="22">
        <v>11208049.9</v>
      </c>
      <c r="AL31" s="9">
        <v>2035508</v>
      </c>
      <c r="AM31" s="9">
        <f t="shared" si="1"/>
        <v>13243557.9</v>
      </c>
      <c r="AN31" s="158">
        <v>434032</v>
      </c>
      <c r="AO31" s="717">
        <v>434032</v>
      </c>
      <c r="AP31" s="684">
        <v>0</v>
      </c>
      <c r="AQ31" s="70" t="s">
        <v>1336</v>
      </c>
      <c r="AR31" s="620">
        <v>1737682.2</v>
      </c>
      <c r="AS31" s="620">
        <v>3909784.5</v>
      </c>
      <c r="AT31" s="620">
        <v>5560583.2000000002</v>
      </c>
      <c r="AU31" s="70" t="s">
        <v>1336</v>
      </c>
      <c r="AV31" s="620">
        <v>434030.16</v>
      </c>
      <c r="AW31" s="782">
        <v>499528</v>
      </c>
      <c r="AX31" s="778">
        <v>499528</v>
      </c>
      <c r="AY31" s="778">
        <v>0</v>
      </c>
      <c r="AZ31" s="622">
        <v>1101950.3499299998</v>
      </c>
      <c r="BA31" s="669"/>
      <c r="BB31" s="669"/>
      <c r="BC31" s="669"/>
      <c r="BD31" s="669"/>
      <c r="BE31" s="669"/>
      <c r="BF31" s="202"/>
      <c r="BG31" s="202">
        <v>0</v>
      </c>
      <c r="BH31" s="202">
        <f>217016*2</f>
        <v>434032</v>
      </c>
      <c r="BI31" s="11">
        <f>217016*2</f>
        <v>434032</v>
      </c>
      <c r="BJ31" s="181">
        <f t="shared" si="7"/>
        <v>434032</v>
      </c>
      <c r="BK31" s="11"/>
    </row>
    <row r="32" spans="1:63" s="10" customFormat="1" ht="180.75" thickBot="1" x14ac:dyDescent="0.3">
      <c r="A32" s="1">
        <v>31</v>
      </c>
      <c r="B32" s="3" t="s">
        <v>96</v>
      </c>
      <c r="C32" s="3" t="s">
        <v>197</v>
      </c>
      <c r="D32" s="3" t="s">
        <v>339</v>
      </c>
      <c r="E32" s="2" t="s">
        <v>1229</v>
      </c>
      <c r="F32" s="16" t="s">
        <v>17</v>
      </c>
      <c r="G32" s="4" t="s">
        <v>199</v>
      </c>
      <c r="H32" s="4" t="s">
        <v>1366</v>
      </c>
      <c r="I32" s="2" t="s">
        <v>198</v>
      </c>
      <c r="J32" s="16" t="s">
        <v>1006</v>
      </c>
      <c r="K32" s="3" t="s">
        <v>115</v>
      </c>
      <c r="L32" s="3" t="s">
        <v>10</v>
      </c>
      <c r="M32" s="12" t="s">
        <v>200</v>
      </c>
      <c r="N32" s="12" t="s">
        <v>201</v>
      </c>
      <c r="O32" s="12" t="s">
        <v>202</v>
      </c>
      <c r="P32" s="17" t="s">
        <v>189</v>
      </c>
      <c r="Q32" s="16" t="s">
        <v>190</v>
      </c>
      <c r="R32" s="16">
        <v>55</v>
      </c>
      <c r="S32" s="12">
        <v>45</v>
      </c>
      <c r="T32" s="12">
        <v>55</v>
      </c>
      <c r="U32" s="12">
        <v>45</v>
      </c>
      <c r="V32" s="12">
        <v>55</v>
      </c>
      <c r="W32" s="12">
        <v>45</v>
      </c>
      <c r="X32" s="6">
        <f t="shared" si="9"/>
        <v>110</v>
      </c>
      <c r="Y32" s="6">
        <f t="shared" si="8"/>
        <v>90</v>
      </c>
      <c r="Z32" s="12">
        <f t="shared" si="0"/>
        <v>135</v>
      </c>
      <c r="AA32" s="811">
        <v>0.91999999999999993</v>
      </c>
      <c r="AB32" s="811">
        <v>1</v>
      </c>
      <c r="AC32" s="836">
        <f t="shared" si="2"/>
        <v>50.599999999999994</v>
      </c>
      <c r="AD32" s="836">
        <f t="shared" si="10"/>
        <v>55</v>
      </c>
      <c r="AE32" s="811">
        <v>0.91999999999999993</v>
      </c>
      <c r="AF32" s="811">
        <v>0.88300000000000001</v>
      </c>
      <c r="AG32" s="836">
        <f t="shared" si="3"/>
        <v>50.599999999999994</v>
      </c>
      <c r="AH32" s="836">
        <f t="shared" si="4"/>
        <v>48.564999999999998</v>
      </c>
      <c r="AI32" s="794">
        <f t="shared" si="5"/>
        <v>101.19999999999999</v>
      </c>
      <c r="AJ32" s="794">
        <f t="shared" si="6"/>
        <v>103.565</v>
      </c>
      <c r="AK32" s="22">
        <v>2711436</v>
      </c>
      <c r="AL32" s="9">
        <v>666278</v>
      </c>
      <c r="AM32" s="9">
        <f t="shared" si="1"/>
        <v>3377714</v>
      </c>
      <c r="AN32" s="158">
        <v>106551</v>
      </c>
      <c r="AO32" s="158">
        <v>142068</v>
      </c>
      <c r="AP32" s="594">
        <v>35517</v>
      </c>
      <c r="AQ32" s="158" t="s">
        <v>1336</v>
      </c>
      <c r="AR32" s="620">
        <v>938574</v>
      </c>
      <c r="AS32" s="620">
        <v>938574</v>
      </c>
      <c r="AT32" s="620">
        <v>834288</v>
      </c>
      <c r="AU32" s="158" t="s">
        <v>1336</v>
      </c>
      <c r="AV32" s="620">
        <v>142069.94</v>
      </c>
      <c r="AW32" s="782">
        <v>163510</v>
      </c>
      <c r="AX32" s="783">
        <v>163510</v>
      </c>
      <c r="AY32" s="778">
        <v>0</v>
      </c>
      <c r="AZ32" s="622">
        <v>360698.46288999991</v>
      </c>
      <c r="BA32" s="669"/>
      <c r="BB32" s="669"/>
      <c r="BC32" s="669"/>
      <c r="BD32" s="669"/>
      <c r="BE32" s="669"/>
      <c r="BF32" s="182"/>
      <c r="BG32" s="182">
        <v>0</v>
      </c>
      <c r="BH32" s="244">
        <f>35517+71034</f>
        <v>106551</v>
      </c>
      <c r="BI32" s="246">
        <f>71034*2</f>
        <v>142068</v>
      </c>
      <c r="BJ32" s="245">
        <f t="shared" si="7"/>
        <v>106551</v>
      </c>
      <c r="BK32" s="11"/>
    </row>
    <row r="33" spans="1:74" s="10" customFormat="1" ht="180.75" thickBot="1" x14ac:dyDescent="0.3">
      <c r="A33" s="1">
        <v>32</v>
      </c>
      <c r="B33" s="2" t="s">
        <v>96</v>
      </c>
      <c r="C33" s="3" t="s">
        <v>203</v>
      </c>
      <c r="D33" s="3" t="s">
        <v>339</v>
      </c>
      <c r="E33" s="2" t="s">
        <v>1229</v>
      </c>
      <c r="F33" s="16" t="s">
        <v>17</v>
      </c>
      <c r="G33" s="4" t="s">
        <v>205</v>
      </c>
      <c r="H33" s="4" t="s">
        <v>1355</v>
      </c>
      <c r="I33" s="2" t="s">
        <v>204</v>
      </c>
      <c r="J33" s="16" t="s">
        <v>1009</v>
      </c>
      <c r="K33" s="3" t="s">
        <v>1128</v>
      </c>
      <c r="L33" s="3" t="s">
        <v>10</v>
      </c>
      <c r="M33" s="12" t="s">
        <v>1057</v>
      </c>
      <c r="N33" s="12" t="s">
        <v>1057</v>
      </c>
      <c r="O33" s="12" t="s">
        <v>1058</v>
      </c>
      <c r="P33" s="17" t="s">
        <v>189</v>
      </c>
      <c r="Q33" s="16" t="s">
        <v>190</v>
      </c>
      <c r="R33" s="16">
        <v>0</v>
      </c>
      <c r="S33" s="3">
        <v>53</v>
      </c>
      <c r="T33" s="3">
        <v>0</v>
      </c>
      <c r="U33" s="3">
        <v>53</v>
      </c>
      <c r="V33" s="3">
        <v>0</v>
      </c>
      <c r="W33" s="3">
        <v>53</v>
      </c>
      <c r="X33" s="6">
        <f t="shared" si="9"/>
        <v>0</v>
      </c>
      <c r="Y33" s="6">
        <f t="shared" si="8"/>
        <v>106</v>
      </c>
      <c r="Z33" s="12">
        <f t="shared" si="0"/>
        <v>159</v>
      </c>
      <c r="AA33" s="811">
        <v>0.91999999999999993</v>
      </c>
      <c r="AB33" s="811">
        <v>1</v>
      </c>
      <c r="AC33" s="836">
        <f t="shared" si="2"/>
        <v>0</v>
      </c>
      <c r="AD33" s="836">
        <f t="shared" si="10"/>
        <v>0</v>
      </c>
      <c r="AE33" s="811">
        <v>0.91999999999999993</v>
      </c>
      <c r="AF33" s="811">
        <v>1</v>
      </c>
      <c r="AG33" s="836">
        <f t="shared" si="3"/>
        <v>0</v>
      </c>
      <c r="AH33" s="836">
        <f t="shared" si="4"/>
        <v>0</v>
      </c>
      <c r="AI33" s="794">
        <f t="shared" si="5"/>
        <v>0</v>
      </c>
      <c r="AJ33" s="794">
        <f t="shared" si="6"/>
        <v>0</v>
      </c>
      <c r="AK33" s="22">
        <v>3547932</v>
      </c>
      <c r="AL33" s="9">
        <v>611264</v>
      </c>
      <c r="AM33" s="9">
        <f t="shared" si="1"/>
        <v>4159196</v>
      </c>
      <c r="AN33" s="158">
        <v>65170</v>
      </c>
      <c r="AO33" s="158">
        <v>130340</v>
      </c>
      <c r="AP33" s="594">
        <v>65170</v>
      </c>
      <c r="AQ33" s="158" t="s">
        <v>1336</v>
      </c>
      <c r="AR33" s="620">
        <v>664902</v>
      </c>
      <c r="AS33" s="620">
        <v>1526310</v>
      </c>
      <c r="AT33" s="620">
        <v>1356720</v>
      </c>
      <c r="AU33" s="158" t="s">
        <v>1336</v>
      </c>
      <c r="AV33" s="620">
        <v>130339.4</v>
      </c>
      <c r="AW33" s="782">
        <v>150008</v>
      </c>
      <c r="AX33" s="778">
        <v>150008</v>
      </c>
      <c r="AY33" s="778">
        <v>0</v>
      </c>
      <c r="AZ33" s="622">
        <v>330916.02099999995</v>
      </c>
      <c r="BA33" s="669"/>
      <c r="BB33" s="669"/>
      <c r="BC33" s="669"/>
      <c r="BD33" s="669"/>
      <c r="BE33" s="669"/>
      <c r="BF33" s="182"/>
      <c r="BG33" s="182">
        <v>0</v>
      </c>
      <c r="BH33" s="244">
        <f>32585*2</f>
        <v>65170</v>
      </c>
      <c r="BI33" s="246">
        <f>65170*2</f>
        <v>130340</v>
      </c>
      <c r="BJ33" s="245">
        <f t="shared" si="7"/>
        <v>65170</v>
      </c>
      <c r="BK33" s="11"/>
    </row>
    <row r="34" spans="1:74" s="10" customFormat="1" ht="180.75" thickBot="1" x14ac:dyDescent="0.3">
      <c r="A34" s="1">
        <v>33</v>
      </c>
      <c r="B34" s="2" t="s">
        <v>96</v>
      </c>
      <c r="C34" s="3" t="s">
        <v>206</v>
      </c>
      <c r="D34" s="3" t="s">
        <v>339</v>
      </c>
      <c r="E34" s="2" t="s">
        <v>1229</v>
      </c>
      <c r="F34" s="32" t="s">
        <v>1025</v>
      </c>
      <c r="G34" s="4" t="s">
        <v>210</v>
      </c>
      <c r="H34" s="4" t="s">
        <v>1355</v>
      </c>
      <c r="I34" s="2" t="s">
        <v>207</v>
      </c>
      <c r="J34" s="16" t="s">
        <v>994</v>
      </c>
      <c r="K34" s="3" t="s">
        <v>208</v>
      </c>
      <c r="L34" s="3" t="s">
        <v>10</v>
      </c>
      <c r="M34" s="12" t="s">
        <v>1063</v>
      </c>
      <c r="N34" s="12" t="s">
        <v>1063</v>
      </c>
      <c r="O34" s="12" t="s">
        <v>1064</v>
      </c>
      <c r="P34" s="17" t="s">
        <v>189</v>
      </c>
      <c r="Q34" s="16" t="s">
        <v>190</v>
      </c>
      <c r="R34" s="16">
        <v>0</v>
      </c>
      <c r="S34" s="12">
        <v>1250</v>
      </c>
      <c r="T34" s="12">
        <v>0</v>
      </c>
      <c r="U34" s="12">
        <v>1250</v>
      </c>
      <c r="V34" s="12">
        <v>0</v>
      </c>
      <c r="W34" s="12">
        <v>1250</v>
      </c>
      <c r="X34" s="6">
        <f t="shared" si="9"/>
        <v>0</v>
      </c>
      <c r="Y34" s="6">
        <f t="shared" si="8"/>
        <v>2500</v>
      </c>
      <c r="Z34" s="12">
        <f t="shared" ref="Z34:Z66" si="13">SUM(S34,U34,W34)</f>
        <v>3750</v>
      </c>
      <c r="AA34" s="811">
        <v>0.91999999999999993</v>
      </c>
      <c r="AB34" s="811">
        <v>0</v>
      </c>
      <c r="AC34" s="836">
        <f t="shared" si="2"/>
        <v>0</v>
      </c>
      <c r="AD34" s="836">
        <f t="shared" si="10"/>
        <v>0</v>
      </c>
      <c r="AE34" s="811">
        <v>0.91999999999999993</v>
      </c>
      <c r="AF34" s="811">
        <v>0</v>
      </c>
      <c r="AG34" s="836">
        <f t="shared" si="3"/>
        <v>0</v>
      </c>
      <c r="AH34" s="836">
        <f t="shared" si="4"/>
        <v>0</v>
      </c>
      <c r="AI34" s="794">
        <f t="shared" si="5"/>
        <v>0</v>
      </c>
      <c r="AJ34" s="794">
        <f t="shared" si="6"/>
        <v>0</v>
      </c>
      <c r="AK34" s="22">
        <v>4041000</v>
      </c>
      <c r="AL34" s="9">
        <v>611262</v>
      </c>
      <c r="AM34" s="9">
        <f t="shared" ref="AM34:AM65" si="14">SUM(AK34:AL34)</f>
        <v>4652262</v>
      </c>
      <c r="AN34" s="158">
        <v>65169</v>
      </c>
      <c r="AO34" s="158">
        <v>130338</v>
      </c>
      <c r="AP34" s="594">
        <v>65169</v>
      </c>
      <c r="AQ34" s="158" t="s">
        <v>1336</v>
      </c>
      <c r="AR34" s="620">
        <v>216000</v>
      </c>
      <c r="AS34" s="620">
        <v>2025000</v>
      </c>
      <c r="AT34" s="620">
        <v>1800000</v>
      </c>
      <c r="AU34" s="158" t="s">
        <v>1336</v>
      </c>
      <c r="AV34" s="620">
        <v>130339.4</v>
      </c>
      <c r="AW34" s="782">
        <v>150008.64000000001</v>
      </c>
      <c r="AX34" s="778">
        <v>0</v>
      </c>
      <c r="AY34" s="778">
        <v>150009</v>
      </c>
      <c r="AZ34" s="622">
        <v>330916.02099999995</v>
      </c>
      <c r="BA34" s="669"/>
      <c r="BB34" s="669"/>
      <c r="BC34" s="669"/>
      <c r="BD34" s="669"/>
      <c r="BE34" s="669"/>
      <c r="BF34" s="182"/>
      <c r="BG34" s="182">
        <v>0</v>
      </c>
      <c r="BH34" s="244">
        <f>21723*3</f>
        <v>65169</v>
      </c>
      <c r="BI34" s="246">
        <f>43446*3</f>
        <v>130338</v>
      </c>
      <c r="BJ34" s="245">
        <f t="shared" si="7"/>
        <v>65169</v>
      </c>
      <c r="BK34" s="11"/>
    </row>
    <row r="35" spans="1:74" s="10" customFormat="1" ht="180.75" thickBot="1" x14ac:dyDescent="0.3">
      <c r="A35" s="1">
        <v>34</v>
      </c>
      <c r="B35" s="2" t="s">
        <v>96</v>
      </c>
      <c r="C35" s="3" t="s">
        <v>211</v>
      </c>
      <c r="D35" s="3" t="s">
        <v>339</v>
      </c>
      <c r="E35" s="2" t="s">
        <v>1229</v>
      </c>
      <c r="F35" s="16" t="s">
        <v>8</v>
      </c>
      <c r="G35" s="4" t="s">
        <v>214</v>
      </c>
      <c r="H35" s="4" t="s">
        <v>1367</v>
      </c>
      <c r="I35" s="2" t="s">
        <v>212</v>
      </c>
      <c r="J35" s="16" t="s">
        <v>1010</v>
      </c>
      <c r="K35" s="3" t="s">
        <v>213</v>
      </c>
      <c r="L35" s="3" t="s">
        <v>10</v>
      </c>
      <c r="M35" s="12" t="s">
        <v>1057</v>
      </c>
      <c r="N35" s="12" t="s">
        <v>1057</v>
      </c>
      <c r="O35" s="12" t="s">
        <v>1057</v>
      </c>
      <c r="P35" s="17" t="s">
        <v>189</v>
      </c>
      <c r="Q35" s="16" t="s">
        <v>190</v>
      </c>
      <c r="R35" s="16">
        <v>0</v>
      </c>
      <c r="S35" s="3">
        <v>150</v>
      </c>
      <c r="T35" s="3">
        <v>0</v>
      </c>
      <c r="U35" s="3">
        <v>150</v>
      </c>
      <c r="V35" s="3">
        <v>0</v>
      </c>
      <c r="W35" s="3">
        <v>150</v>
      </c>
      <c r="X35" s="6">
        <f t="shared" si="9"/>
        <v>0</v>
      </c>
      <c r="Y35" s="6">
        <f t="shared" si="8"/>
        <v>300</v>
      </c>
      <c r="Z35" s="12">
        <f t="shared" si="13"/>
        <v>450</v>
      </c>
      <c r="AA35" s="811">
        <v>0.91999999999999993</v>
      </c>
      <c r="AB35" s="811">
        <v>1</v>
      </c>
      <c r="AC35" s="836">
        <f t="shared" si="2"/>
        <v>0</v>
      </c>
      <c r="AD35" s="836">
        <f t="shared" si="10"/>
        <v>0</v>
      </c>
      <c r="AE35" s="811">
        <v>0.91999999999999993</v>
      </c>
      <c r="AF35" s="811">
        <v>1</v>
      </c>
      <c r="AG35" s="836">
        <f t="shared" si="3"/>
        <v>0</v>
      </c>
      <c r="AH35" s="836">
        <f t="shared" si="4"/>
        <v>0</v>
      </c>
      <c r="AI35" s="794">
        <f t="shared" si="5"/>
        <v>0</v>
      </c>
      <c r="AJ35" s="794">
        <f t="shared" si="6"/>
        <v>0</v>
      </c>
      <c r="AK35" s="22">
        <v>9863100</v>
      </c>
      <c r="AL35" s="9">
        <v>1531216</v>
      </c>
      <c r="AM35" s="9">
        <f t="shared" si="14"/>
        <v>11394316</v>
      </c>
      <c r="AN35" s="158">
        <v>163250</v>
      </c>
      <c r="AO35" s="158">
        <v>326500</v>
      </c>
      <c r="AP35" s="594">
        <v>163250</v>
      </c>
      <c r="AQ35" s="599" t="s">
        <v>1336</v>
      </c>
      <c r="AR35" s="645">
        <v>3414150</v>
      </c>
      <c r="AS35" s="645">
        <v>3414150</v>
      </c>
      <c r="AT35" s="645">
        <v>3034800</v>
      </c>
      <c r="AU35" s="224" t="s">
        <v>1336</v>
      </c>
      <c r="AV35" s="645">
        <v>326500.15999999997</v>
      </c>
      <c r="AW35" s="784">
        <v>375771.62</v>
      </c>
      <c r="AX35" s="785">
        <v>375772</v>
      </c>
      <c r="AY35" s="785">
        <v>0</v>
      </c>
      <c r="AZ35" s="622">
        <v>828944.63260499982</v>
      </c>
      <c r="BA35" s="669"/>
      <c r="BB35" s="669"/>
      <c r="BC35" s="669"/>
      <c r="BD35" s="669"/>
      <c r="BE35" s="669"/>
      <c r="BF35" s="182"/>
      <c r="BG35" s="182">
        <v>0</v>
      </c>
      <c r="BH35" s="244">
        <f>81625*2</f>
        <v>163250</v>
      </c>
      <c r="BI35" s="246">
        <f>163250*2</f>
        <v>326500</v>
      </c>
      <c r="BJ35" s="245">
        <f t="shared" si="7"/>
        <v>163250</v>
      </c>
      <c r="BK35" s="11"/>
    </row>
    <row r="36" spans="1:74" s="10" customFormat="1" ht="109.5" customHeight="1" thickBot="1" x14ac:dyDescent="0.3">
      <c r="A36" s="1">
        <v>35</v>
      </c>
      <c r="B36" s="3" t="s">
        <v>96</v>
      </c>
      <c r="C36" s="3" t="s">
        <v>215</v>
      </c>
      <c r="D36" s="3" t="s">
        <v>339</v>
      </c>
      <c r="E36" s="2" t="s">
        <v>1229</v>
      </c>
      <c r="F36" s="16" t="s">
        <v>51</v>
      </c>
      <c r="G36" s="4" t="s">
        <v>218</v>
      </c>
      <c r="H36" s="613" t="s">
        <v>1368</v>
      </c>
      <c r="I36" s="2" t="s">
        <v>216</v>
      </c>
      <c r="J36" s="16" t="s">
        <v>995</v>
      </c>
      <c r="K36" s="16" t="s">
        <v>217</v>
      </c>
      <c r="L36" s="3" t="s">
        <v>10</v>
      </c>
      <c r="M36" s="14" t="s">
        <v>219</v>
      </c>
      <c r="N36" s="6" t="s">
        <v>220</v>
      </c>
      <c r="O36" s="15" t="s">
        <v>221</v>
      </c>
      <c r="P36" s="17" t="s">
        <v>28</v>
      </c>
      <c r="Q36" s="16" t="s">
        <v>222</v>
      </c>
      <c r="R36" s="16">
        <v>0</v>
      </c>
      <c r="S36" s="12">
        <v>1550</v>
      </c>
      <c r="T36" s="12">
        <v>0</v>
      </c>
      <c r="U36" s="21">
        <v>1550</v>
      </c>
      <c r="V36" s="26">
        <v>0</v>
      </c>
      <c r="W36" s="12">
        <v>1550</v>
      </c>
      <c r="X36" s="6">
        <f t="shared" si="9"/>
        <v>0</v>
      </c>
      <c r="Y36" s="6">
        <f t="shared" si="8"/>
        <v>3100</v>
      </c>
      <c r="Z36" s="12">
        <f t="shared" si="13"/>
        <v>4650</v>
      </c>
      <c r="AA36" s="811">
        <v>0.9</v>
      </c>
      <c r="AB36" s="811">
        <v>1</v>
      </c>
      <c r="AC36" s="836">
        <f t="shared" si="2"/>
        <v>0</v>
      </c>
      <c r="AD36" s="836">
        <f t="shared" si="10"/>
        <v>0</v>
      </c>
      <c r="AE36" s="811">
        <v>0.9</v>
      </c>
      <c r="AF36" s="811">
        <v>0.94699999999999995</v>
      </c>
      <c r="AG36" s="836">
        <f t="shared" si="3"/>
        <v>0</v>
      </c>
      <c r="AH36" s="836">
        <f t="shared" si="4"/>
        <v>0</v>
      </c>
      <c r="AI36" s="794">
        <f t="shared" si="5"/>
        <v>0</v>
      </c>
      <c r="AJ36" s="794">
        <f t="shared" si="6"/>
        <v>0</v>
      </c>
      <c r="AK36" s="8">
        <v>18419173.420000002</v>
      </c>
      <c r="AL36" s="9">
        <v>2542674</v>
      </c>
      <c r="AM36" s="9">
        <f t="shared" si="14"/>
        <v>20961847.420000002</v>
      </c>
      <c r="AN36" s="166">
        <v>495288</v>
      </c>
      <c r="AO36" s="166">
        <v>495288</v>
      </c>
      <c r="AP36" s="684">
        <v>0</v>
      </c>
      <c r="AQ36" s="646">
        <v>4177569.59</v>
      </c>
      <c r="AR36" s="638">
        <v>4592469.6399999997</v>
      </c>
      <c r="AS36" s="638">
        <v>4907544.91</v>
      </c>
      <c r="AT36" s="638">
        <v>4741589.28</v>
      </c>
      <c r="AU36" s="638">
        <v>219872.08</v>
      </c>
      <c r="AV36" s="638">
        <v>495289.68</v>
      </c>
      <c r="AW36" s="786">
        <v>570031.99</v>
      </c>
      <c r="AX36" s="720">
        <v>427524</v>
      </c>
      <c r="AY36" s="720">
        <v>142508</v>
      </c>
      <c r="AZ36" s="615">
        <v>1257480.8797999998</v>
      </c>
      <c r="BA36" s="668"/>
      <c r="BB36" s="668"/>
      <c r="BC36" s="668"/>
      <c r="BD36" s="668"/>
      <c r="BE36" s="668"/>
      <c r="BF36" s="183"/>
      <c r="BG36" s="183">
        <v>0</v>
      </c>
      <c r="BH36" s="183">
        <f>247644*2</f>
        <v>495288</v>
      </c>
      <c r="BI36" s="11">
        <f>247644*2</f>
        <v>495288</v>
      </c>
      <c r="BJ36" s="181">
        <f t="shared" si="7"/>
        <v>495288</v>
      </c>
      <c r="BK36" s="11"/>
    </row>
    <row r="37" spans="1:74" s="10" customFormat="1" ht="93" customHeight="1" thickBot="1" x14ac:dyDescent="0.3">
      <c r="A37" s="1">
        <v>36</v>
      </c>
      <c r="B37" s="2" t="s">
        <v>96</v>
      </c>
      <c r="C37" s="3" t="s">
        <v>223</v>
      </c>
      <c r="D37" s="3" t="s">
        <v>339</v>
      </c>
      <c r="E37" s="2" t="s">
        <v>1233</v>
      </c>
      <c r="F37" s="16" t="s">
        <v>1020</v>
      </c>
      <c r="G37" s="4" t="s">
        <v>226</v>
      </c>
      <c r="H37" s="613" t="s">
        <v>1369</v>
      </c>
      <c r="I37" s="2" t="s">
        <v>224</v>
      </c>
      <c r="J37" s="16" t="s">
        <v>1005</v>
      </c>
      <c r="K37" s="12" t="s">
        <v>225</v>
      </c>
      <c r="L37" s="3" t="s">
        <v>10</v>
      </c>
      <c r="M37" s="14" t="s">
        <v>227</v>
      </c>
      <c r="N37" s="6" t="s">
        <v>228</v>
      </c>
      <c r="O37" s="15" t="s">
        <v>229</v>
      </c>
      <c r="P37" s="17" t="s">
        <v>28</v>
      </c>
      <c r="Q37" s="29" t="s">
        <v>230</v>
      </c>
      <c r="R37" s="29">
        <v>0</v>
      </c>
      <c r="S37" s="12">
        <v>1575</v>
      </c>
      <c r="T37" s="12">
        <v>0</v>
      </c>
      <c r="U37" s="12">
        <v>1575</v>
      </c>
      <c r="V37" s="12">
        <v>0</v>
      </c>
      <c r="W37" s="12">
        <v>1575</v>
      </c>
      <c r="X37" s="6">
        <f t="shared" si="9"/>
        <v>0</v>
      </c>
      <c r="Y37" s="6">
        <f t="shared" si="8"/>
        <v>3150</v>
      </c>
      <c r="Z37" s="12">
        <f t="shared" si="13"/>
        <v>4725</v>
      </c>
      <c r="AA37" s="811">
        <v>0.87999999999999989</v>
      </c>
      <c r="AB37" s="811">
        <v>1</v>
      </c>
      <c r="AC37" s="836">
        <f t="shared" si="2"/>
        <v>0</v>
      </c>
      <c r="AD37" s="836">
        <f t="shared" si="10"/>
        <v>0</v>
      </c>
      <c r="AE37" s="811">
        <v>0.87999999999999989</v>
      </c>
      <c r="AF37" s="811">
        <v>1</v>
      </c>
      <c r="AG37" s="836">
        <f t="shared" si="3"/>
        <v>0</v>
      </c>
      <c r="AH37" s="836">
        <f t="shared" si="4"/>
        <v>0</v>
      </c>
      <c r="AI37" s="794">
        <f t="shared" si="5"/>
        <v>0</v>
      </c>
      <c r="AJ37" s="794">
        <f t="shared" si="6"/>
        <v>0</v>
      </c>
      <c r="AK37" s="8">
        <v>2212417.96</v>
      </c>
      <c r="AL37" s="9">
        <v>637674</v>
      </c>
      <c r="AM37" s="9">
        <f t="shared" si="14"/>
        <v>2850091.96</v>
      </c>
      <c r="AN37" s="158">
        <v>130340</v>
      </c>
      <c r="AO37" s="158">
        <v>130340</v>
      </c>
      <c r="AP37" s="594">
        <v>0</v>
      </c>
      <c r="AQ37" s="638">
        <v>501788.53</v>
      </c>
      <c r="AR37" s="638">
        <v>551624.23</v>
      </c>
      <c r="AS37" s="638">
        <v>589469.48</v>
      </c>
      <c r="AT37" s="638">
        <v>569535.72</v>
      </c>
      <c r="AU37" s="638">
        <v>26409.919999999998</v>
      </c>
      <c r="AV37" s="638">
        <v>130339.4</v>
      </c>
      <c r="AW37" s="786">
        <v>112506</v>
      </c>
      <c r="AX37" s="720">
        <v>112506</v>
      </c>
      <c r="AY37" s="720">
        <v>0</v>
      </c>
      <c r="AZ37" s="615">
        <v>330916.02099999995</v>
      </c>
      <c r="BA37" s="668"/>
      <c r="BB37" s="668"/>
      <c r="BC37" s="668"/>
      <c r="BD37" s="668"/>
      <c r="BE37" s="668"/>
      <c r="BF37" s="182"/>
      <c r="BG37" s="182">
        <v>0</v>
      </c>
      <c r="BH37" s="182">
        <f>65170*2</f>
        <v>130340</v>
      </c>
      <c r="BI37" s="11">
        <f>65170*2</f>
        <v>130340</v>
      </c>
      <c r="BJ37" s="181">
        <f t="shared" si="7"/>
        <v>130340</v>
      </c>
      <c r="BK37" s="11"/>
    </row>
    <row r="38" spans="1:74" s="10" customFormat="1" ht="164.1" customHeight="1" thickBot="1" x14ac:dyDescent="0.3">
      <c r="A38" s="1">
        <v>37</v>
      </c>
      <c r="B38" s="2" t="s">
        <v>96</v>
      </c>
      <c r="C38" s="3" t="s">
        <v>231</v>
      </c>
      <c r="D38" s="3" t="s">
        <v>339</v>
      </c>
      <c r="E38" s="2" t="s">
        <v>1229</v>
      </c>
      <c r="F38" s="2" t="s">
        <v>8</v>
      </c>
      <c r="G38" s="4" t="s">
        <v>233</v>
      </c>
      <c r="H38" s="613" t="s">
        <v>1370</v>
      </c>
      <c r="I38" s="2" t="s">
        <v>232</v>
      </c>
      <c r="J38" s="2" t="s">
        <v>1006</v>
      </c>
      <c r="K38" s="12" t="s">
        <v>185</v>
      </c>
      <c r="L38" s="3" t="s">
        <v>10</v>
      </c>
      <c r="M38" s="14" t="s">
        <v>234</v>
      </c>
      <c r="N38" s="6" t="s">
        <v>234</v>
      </c>
      <c r="O38" s="6" t="s">
        <v>235</v>
      </c>
      <c r="P38" s="17" t="s">
        <v>28</v>
      </c>
      <c r="Q38" s="16" t="s">
        <v>222</v>
      </c>
      <c r="R38" s="16">
        <v>30</v>
      </c>
      <c r="S38" s="12">
        <v>30</v>
      </c>
      <c r="T38" s="12">
        <v>30</v>
      </c>
      <c r="U38" s="12">
        <v>30</v>
      </c>
      <c r="V38" s="12">
        <v>30</v>
      </c>
      <c r="W38" s="12">
        <v>30</v>
      </c>
      <c r="X38" s="6">
        <f t="shared" si="9"/>
        <v>60</v>
      </c>
      <c r="Y38" s="6">
        <f t="shared" si="8"/>
        <v>60</v>
      </c>
      <c r="Z38" s="12">
        <f t="shared" si="13"/>
        <v>90</v>
      </c>
      <c r="AA38" s="811">
        <v>0.87999999999999989</v>
      </c>
      <c r="AB38" s="811">
        <v>1</v>
      </c>
      <c r="AC38" s="836">
        <f t="shared" si="2"/>
        <v>26.4</v>
      </c>
      <c r="AD38" s="836">
        <f t="shared" si="10"/>
        <v>30</v>
      </c>
      <c r="AE38" s="811">
        <v>0.87999999999999989</v>
      </c>
      <c r="AF38" s="811">
        <v>0.92699999999999994</v>
      </c>
      <c r="AG38" s="836">
        <f t="shared" si="3"/>
        <v>26.4</v>
      </c>
      <c r="AH38" s="836">
        <f t="shared" si="4"/>
        <v>27.81</v>
      </c>
      <c r="AI38" s="794">
        <f t="shared" si="5"/>
        <v>52.8</v>
      </c>
      <c r="AJ38" s="794">
        <f t="shared" si="6"/>
        <v>57.81</v>
      </c>
      <c r="AK38" s="8">
        <v>1179949.19</v>
      </c>
      <c r="AL38" s="9">
        <v>625350</v>
      </c>
      <c r="AM38" s="36">
        <f t="shared" si="14"/>
        <v>1805299.19</v>
      </c>
      <c r="AN38" s="158">
        <v>130340</v>
      </c>
      <c r="AO38" s="158">
        <v>130340</v>
      </c>
      <c r="AP38" s="594">
        <v>0</v>
      </c>
      <c r="AQ38" s="638">
        <v>267618.95</v>
      </c>
      <c r="AR38" s="638">
        <v>294197.83</v>
      </c>
      <c r="AS38" s="638">
        <v>314381.84000000003</v>
      </c>
      <c r="AT38" s="638">
        <v>303750.57</v>
      </c>
      <c r="AU38" s="638">
        <v>14085.2</v>
      </c>
      <c r="AV38" s="638">
        <v>130339.4</v>
      </c>
      <c r="AW38" s="786">
        <v>150008</v>
      </c>
      <c r="AX38" s="720">
        <v>150008</v>
      </c>
      <c r="AY38" s="720">
        <v>0</v>
      </c>
      <c r="AZ38" s="615">
        <v>330916.02099999995</v>
      </c>
      <c r="BA38" s="668"/>
      <c r="BB38" s="668"/>
      <c r="BC38" s="668"/>
      <c r="BD38" s="668"/>
      <c r="BE38" s="668"/>
      <c r="BF38" s="182"/>
      <c r="BG38" s="182">
        <v>0</v>
      </c>
      <c r="BH38" s="182">
        <f>65170*2</f>
        <v>130340</v>
      </c>
      <c r="BI38" s="11">
        <f>65170*2</f>
        <v>130340</v>
      </c>
      <c r="BJ38" s="181">
        <f t="shared" si="7"/>
        <v>130340</v>
      </c>
      <c r="BK38" s="11"/>
    </row>
    <row r="39" spans="1:74" s="10" customFormat="1" ht="180.75" thickBot="1" x14ac:dyDescent="0.3">
      <c r="A39" s="1">
        <v>38</v>
      </c>
      <c r="B39" s="2" t="s">
        <v>96</v>
      </c>
      <c r="C39" s="3" t="s">
        <v>236</v>
      </c>
      <c r="D39" s="3" t="s">
        <v>339</v>
      </c>
      <c r="E39" s="2" t="s">
        <v>1229</v>
      </c>
      <c r="F39" s="2" t="s">
        <v>8</v>
      </c>
      <c r="G39" s="4" t="s">
        <v>239</v>
      </c>
      <c r="H39" s="613" t="s">
        <v>1371</v>
      </c>
      <c r="I39" s="2" t="s">
        <v>237</v>
      </c>
      <c r="J39" s="2" t="s">
        <v>1006</v>
      </c>
      <c r="K39" s="12" t="s">
        <v>238</v>
      </c>
      <c r="L39" s="3" t="s">
        <v>10</v>
      </c>
      <c r="M39" s="14" t="s">
        <v>240</v>
      </c>
      <c r="N39" s="6" t="s">
        <v>241</v>
      </c>
      <c r="O39" s="15" t="s">
        <v>242</v>
      </c>
      <c r="P39" s="17" t="s">
        <v>28</v>
      </c>
      <c r="Q39" s="16" t="s">
        <v>222</v>
      </c>
      <c r="R39" s="16">
        <v>1022</v>
      </c>
      <c r="S39" s="12">
        <v>720</v>
      </c>
      <c r="T39" s="12">
        <v>1022</v>
      </c>
      <c r="U39" s="21">
        <v>720</v>
      </c>
      <c r="V39" s="21">
        <v>1022</v>
      </c>
      <c r="W39" s="12">
        <v>720</v>
      </c>
      <c r="X39" s="6">
        <f t="shared" si="9"/>
        <v>2044</v>
      </c>
      <c r="Y39" s="6">
        <f t="shared" si="8"/>
        <v>1440</v>
      </c>
      <c r="Z39" s="12">
        <f t="shared" si="13"/>
        <v>2160</v>
      </c>
      <c r="AA39" s="811">
        <v>0.87999999999999989</v>
      </c>
      <c r="AB39" s="811">
        <v>0.93100000000000005</v>
      </c>
      <c r="AC39" s="836">
        <f t="shared" si="2"/>
        <v>899.3599999999999</v>
      </c>
      <c r="AD39" s="836">
        <f t="shared" si="10"/>
        <v>951.48200000000008</v>
      </c>
      <c r="AE39" s="811">
        <v>0.87999999999999989</v>
      </c>
      <c r="AF39" s="811">
        <v>0.86799999999999999</v>
      </c>
      <c r="AG39" s="836">
        <f t="shared" si="3"/>
        <v>899.3599999999999</v>
      </c>
      <c r="AH39" s="836">
        <f t="shared" si="4"/>
        <v>887.096</v>
      </c>
      <c r="AI39" s="794">
        <f t="shared" si="5"/>
        <v>1798.7199999999998</v>
      </c>
      <c r="AJ39" s="794">
        <f t="shared" si="6"/>
        <v>1838.578</v>
      </c>
      <c r="AK39" s="8">
        <v>11939409.84</v>
      </c>
      <c r="AL39" s="9">
        <v>1643176</v>
      </c>
      <c r="AM39" s="9">
        <f t="shared" si="14"/>
        <v>13582585.84</v>
      </c>
      <c r="AN39" s="158">
        <v>319984</v>
      </c>
      <c r="AO39" s="158">
        <v>319984</v>
      </c>
      <c r="AP39" s="594">
        <v>0</v>
      </c>
      <c r="AQ39" s="638">
        <v>2707923.66</v>
      </c>
      <c r="AR39" s="638">
        <v>2976864.16</v>
      </c>
      <c r="AS39" s="638">
        <v>3181097.69</v>
      </c>
      <c r="AT39" s="638">
        <v>3073524.33</v>
      </c>
      <c r="AU39" s="638">
        <v>142522.29999999999</v>
      </c>
      <c r="AV39" s="638">
        <v>319983.2</v>
      </c>
      <c r="AW39" s="786">
        <v>368272</v>
      </c>
      <c r="AX39" s="720">
        <v>368272</v>
      </c>
      <c r="AY39" s="720">
        <v>0</v>
      </c>
      <c r="AZ39" s="615">
        <v>812398.83155499981</v>
      </c>
      <c r="BA39" s="668"/>
      <c r="BB39" s="668"/>
      <c r="BC39" s="668"/>
      <c r="BD39" s="668"/>
      <c r="BE39" s="668"/>
      <c r="BF39" s="182"/>
      <c r="BG39" s="182">
        <v>0</v>
      </c>
      <c r="BH39" s="182">
        <f>159992*2</f>
        <v>319984</v>
      </c>
      <c r="BI39" s="11">
        <f>159992*2</f>
        <v>319984</v>
      </c>
      <c r="BJ39" s="181">
        <f t="shared" si="7"/>
        <v>319984</v>
      </c>
      <c r="BK39" s="11"/>
    </row>
    <row r="40" spans="1:74" s="10" customFormat="1" ht="180.75" thickBot="1" x14ac:dyDescent="0.3">
      <c r="A40" s="1">
        <v>39</v>
      </c>
      <c r="B40" s="2" t="s">
        <v>96</v>
      </c>
      <c r="C40" s="3" t="s">
        <v>243</v>
      </c>
      <c r="D40" s="3" t="s">
        <v>339</v>
      </c>
      <c r="E40" s="2" t="s">
        <v>1229</v>
      </c>
      <c r="F40" s="2" t="s">
        <v>8</v>
      </c>
      <c r="G40" s="4" t="s">
        <v>245</v>
      </c>
      <c r="H40" s="613" t="s">
        <v>1372</v>
      </c>
      <c r="I40" s="2" t="s">
        <v>244</v>
      </c>
      <c r="J40" s="2" t="s">
        <v>1000</v>
      </c>
      <c r="K40" s="12" t="s">
        <v>125</v>
      </c>
      <c r="L40" s="3" t="s">
        <v>10</v>
      </c>
      <c r="M40" s="14" t="s">
        <v>246</v>
      </c>
      <c r="N40" s="6" t="s">
        <v>247</v>
      </c>
      <c r="O40" s="15" t="s">
        <v>248</v>
      </c>
      <c r="P40" s="5" t="s">
        <v>189</v>
      </c>
      <c r="Q40" s="16" t="s">
        <v>249</v>
      </c>
      <c r="R40" s="16">
        <v>2154</v>
      </c>
      <c r="S40" s="12">
        <v>1915</v>
      </c>
      <c r="T40" s="12">
        <v>2154</v>
      </c>
      <c r="U40" s="21">
        <v>1915</v>
      </c>
      <c r="V40" s="21">
        <v>2154</v>
      </c>
      <c r="W40" s="12">
        <v>1915</v>
      </c>
      <c r="X40" s="6">
        <f t="shared" si="9"/>
        <v>4308</v>
      </c>
      <c r="Y40" s="6">
        <f t="shared" si="8"/>
        <v>3830</v>
      </c>
      <c r="Z40" s="12">
        <f t="shared" si="13"/>
        <v>5745</v>
      </c>
      <c r="AA40" s="811">
        <v>0.87999999999999989</v>
      </c>
      <c r="AB40" s="811">
        <v>1</v>
      </c>
      <c r="AC40" s="836">
        <f t="shared" si="2"/>
        <v>1895.5199999999998</v>
      </c>
      <c r="AD40" s="836">
        <f t="shared" si="10"/>
        <v>2154</v>
      </c>
      <c r="AE40" s="811">
        <v>0.87999999999999989</v>
      </c>
      <c r="AF40" s="811">
        <v>0.84099999999999997</v>
      </c>
      <c r="AG40" s="836">
        <f t="shared" si="3"/>
        <v>1895.5199999999998</v>
      </c>
      <c r="AH40" s="836">
        <f t="shared" si="4"/>
        <v>1811.5139999999999</v>
      </c>
      <c r="AI40" s="794">
        <f t="shared" si="5"/>
        <v>3791.0399999999995</v>
      </c>
      <c r="AJ40" s="794">
        <f t="shared" si="6"/>
        <v>3965.5140000000001</v>
      </c>
      <c r="AK40" s="8">
        <v>7215481.8300000001</v>
      </c>
      <c r="AL40" s="9">
        <v>697396</v>
      </c>
      <c r="AM40" s="9">
        <f t="shared" si="14"/>
        <v>7912877.8300000001</v>
      </c>
      <c r="AN40" s="77">
        <v>130340</v>
      </c>
      <c r="AO40" s="77">
        <v>130340</v>
      </c>
      <c r="AP40" s="171">
        <v>0</v>
      </c>
      <c r="AQ40" s="638">
        <v>1636510.87</v>
      </c>
      <c r="AR40" s="638">
        <v>1799042.8</v>
      </c>
      <c r="AS40" s="638">
        <v>1922469.61</v>
      </c>
      <c r="AT40" s="638">
        <v>1857458.56</v>
      </c>
      <c r="AU40" s="638">
        <v>86132.14</v>
      </c>
      <c r="AV40" s="638">
        <v>130339.39</v>
      </c>
      <c r="AW40" s="786">
        <v>150008.63</v>
      </c>
      <c r="AX40" s="720">
        <v>150009</v>
      </c>
      <c r="AY40" s="720">
        <v>0</v>
      </c>
      <c r="AZ40" s="615">
        <v>330916.02099999995</v>
      </c>
      <c r="BA40" s="668"/>
      <c r="BB40" s="668"/>
      <c r="BC40" s="668"/>
      <c r="BD40" s="668"/>
      <c r="BE40" s="668"/>
      <c r="BF40" s="184"/>
      <c r="BG40" s="184">
        <v>0</v>
      </c>
      <c r="BH40" s="184">
        <v>130340</v>
      </c>
      <c r="BI40" s="181">
        <v>130340</v>
      </c>
      <c r="BJ40" s="181">
        <f t="shared" si="7"/>
        <v>130340</v>
      </c>
      <c r="BK40" s="11"/>
    </row>
    <row r="41" spans="1:74" s="10" customFormat="1" ht="105.6" customHeight="1" thickBot="1" x14ac:dyDescent="0.3">
      <c r="A41" s="1">
        <v>40</v>
      </c>
      <c r="B41" s="2" t="s">
        <v>96</v>
      </c>
      <c r="C41" s="3" t="s">
        <v>250</v>
      </c>
      <c r="D41" s="3" t="s">
        <v>339</v>
      </c>
      <c r="E41" s="2" t="s">
        <v>1229</v>
      </c>
      <c r="F41" s="2" t="s">
        <v>51</v>
      </c>
      <c r="G41" s="4" t="s">
        <v>253</v>
      </c>
      <c r="H41" s="613" t="s">
        <v>1373</v>
      </c>
      <c r="I41" s="2" t="s">
        <v>251</v>
      </c>
      <c r="J41" s="2" t="s">
        <v>993</v>
      </c>
      <c r="K41" s="12" t="s">
        <v>252</v>
      </c>
      <c r="L41" s="3" t="s">
        <v>10</v>
      </c>
      <c r="M41" s="14" t="s">
        <v>1065</v>
      </c>
      <c r="N41" s="6" t="s">
        <v>1066</v>
      </c>
      <c r="O41" s="6" t="s">
        <v>1067</v>
      </c>
      <c r="P41" s="17" t="s">
        <v>28</v>
      </c>
      <c r="Q41" s="16" t="s">
        <v>222</v>
      </c>
      <c r="R41" s="16">
        <v>0</v>
      </c>
      <c r="S41" s="12">
        <v>100</v>
      </c>
      <c r="T41" s="12">
        <v>0</v>
      </c>
      <c r="U41" s="12">
        <v>100</v>
      </c>
      <c r="V41" s="12">
        <v>0</v>
      </c>
      <c r="W41" s="12">
        <v>100</v>
      </c>
      <c r="X41" s="6">
        <f t="shared" si="9"/>
        <v>0</v>
      </c>
      <c r="Y41" s="6">
        <f t="shared" si="8"/>
        <v>200</v>
      </c>
      <c r="Z41" s="12">
        <f t="shared" si="13"/>
        <v>300</v>
      </c>
      <c r="AA41" s="811">
        <v>0.91199999999999992</v>
      </c>
      <c r="AB41" s="811">
        <v>0.89999999999999991</v>
      </c>
      <c r="AC41" s="836">
        <f t="shared" si="2"/>
        <v>0</v>
      </c>
      <c r="AD41" s="836">
        <f t="shared" si="10"/>
        <v>0</v>
      </c>
      <c r="AE41" s="811">
        <v>0.91199999999999992</v>
      </c>
      <c r="AF41" s="811">
        <v>0.97</v>
      </c>
      <c r="AG41" s="836">
        <f t="shared" si="3"/>
        <v>0</v>
      </c>
      <c r="AH41" s="836">
        <f t="shared" si="4"/>
        <v>0</v>
      </c>
      <c r="AI41" s="794">
        <f t="shared" si="5"/>
        <v>0</v>
      </c>
      <c r="AJ41" s="794">
        <f t="shared" si="6"/>
        <v>0</v>
      </c>
      <c r="AK41" s="8">
        <v>6679086.6600000001</v>
      </c>
      <c r="AL41" s="9">
        <v>903218</v>
      </c>
      <c r="AM41" s="9">
        <f t="shared" si="14"/>
        <v>7582304.6600000001</v>
      </c>
      <c r="AN41" s="158">
        <v>175960</v>
      </c>
      <c r="AO41" s="158">
        <v>175960</v>
      </c>
      <c r="AP41" s="594">
        <v>0</v>
      </c>
      <c r="AQ41" s="638">
        <v>1482237.93</v>
      </c>
      <c r="AR41" s="638">
        <v>1663531.76</v>
      </c>
      <c r="AS41" s="638">
        <v>1800174.82</v>
      </c>
      <c r="AT41" s="638">
        <v>1733142.15</v>
      </c>
      <c r="AU41" s="638">
        <v>78012.52</v>
      </c>
      <c r="AV41" s="638">
        <v>175958.18</v>
      </c>
      <c r="AW41" s="786">
        <v>202511.66</v>
      </c>
      <c r="AX41" s="720">
        <v>151884</v>
      </c>
      <c r="AY41" s="720">
        <v>50628</v>
      </c>
      <c r="AZ41" s="615">
        <v>446736.6283499999</v>
      </c>
      <c r="BA41" s="668"/>
      <c r="BB41" s="668"/>
      <c r="BC41" s="668"/>
      <c r="BD41" s="668"/>
      <c r="BE41" s="668"/>
      <c r="BF41" s="182"/>
      <c r="BG41" s="182">
        <v>0</v>
      </c>
      <c r="BH41" s="182">
        <f>87980*2</f>
        <v>175960</v>
      </c>
      <c r="BI41" s="11">
        <f>87980*2</f>
        <v>175960</v>
      </c>
      <c r="BJ41" s="181">
        <f t="shared" si="7"/>
        <v>175960</v>
      </c>
      <c r="BK41" s="11"/>
    </row>
    <row r="42" spans="1:74" s="10" customFormat="1" ht="138.6" customHeight="1" thickBot="1" x14ac:dyDescent="0.3">
      <c r="A42" s="1">
        <v>41</v>
      </c>
      <c r="B42" s="2" t="s">
        <v>96</v>
      </c>
      <c r="C42" s="3" t="s">
        <v>254</v>
      </c>
      <c r="D42" s="3" t="s">
        <v>339</v>
      </c>
      <c r="E42" s="2" t="s">
        <v>1233</v>
      </c>
      <c r="F42" s="2" t="s">
        <v>1020</v>
      </c>
      <c r="G42" s="4" t="s">
        <v>257</v>
      </c>
      <c r="H42" s="613" t="s">
        <v>1374</v>
      </c>
      <c r="I42" s="2" t="s">
        <v>255</v>
      </c>
      <c r="J42" s="2" t="s">
        <v>992</v>
      </c>
      <c r="K42" s="12" t="s">
        <v>256</v>
      </c>
      <c r="L42" s="3" t="s">
        <v>10</v>
      </c>
      <c r="M42" s="12" t="s">
        <v>258</v>
      </c>
      <c r="N42" s="6" t="s">
        <v>259</v>
      </c>
      <c r="O42" s="15" t="s">
        <v>1068</v>
      </c>
      <c r="P42" s="17" t="s">
        <v>28</v>
      </c>
      <c r="Q42" s="16" t="s">
        <v>260</v>
      </c>
      <c r="R42" s="16">
        <v>0</v>
      </c>
      <c r="S42" s="12">
        <v>145</v>
      </c>
      <c r="T42" s="12">
        <v>0</v>
      </c>
      <c r="U42" s="12">
        <v>145</v>
      </c>
      <c r="V42" s="12">
        <v>0</v>
      </c>
      <c r="W42" s="12">
        <v>145</v>
      </c>
      <c r="X42" s="6">
        <f t="shared" si="9"/>
        <v>0</v>
      </c>
      <c r="Y42" s="6">
        <f t="shared" si="8"/>
        <v>290</v>
      </c>
      <c r="Z42" s="12">
        <f t="shared" si="13"/>
        <v>435</v>
      </c>
      <c r="AA42" s="811">
        <v>0.91199999999999992</v>
      </c>
      <c r="AB42" s="811">
        <v>0.84000000000000008</v>
      </c>
      <c r="AC42" s="836">
        <f t="shared" si="2"/>
        <v>0</v>
      </c>
      <c r="AD42" s="836">
        <f t="shared" si="10"/>
        <v>0</v>
      </c>
      <c r="AE42" s="811">
        <v>0.91199999999999992</v>
      </c>
      <c r="AF42" s="811">
        <v>0.94</v>
      </c>
      <c r="AG42" s="836">
        <f t="shared" si="3"/>
        <v>0</v>
      </c>
      <c r="AH42" s="836">
        <f t="shared" si="4"/>
        <v>0</v>
      </c>
      <c r="AI42" s="794">
        <f t="shared" si="5"/>
        <v>0</v>
      </c>
      <c r="AJ42" s="794">
        <f t="shared" si="6"/>
        <v>0</v>
      </c>
      <c r="AK42" s="8">
        <v>7093559.5199999996</v>
      </c>
      <c r="AL42" s="9">
        <v>960018</v>
      </c>
      <c r="AM42" s="9">
        <f t="shared" si="14"/>
        <v>8053577.5199999996</v>
      </c>
      <c r="AN42" s="158">
        <v>187036</v>
      </c>
      <c r="AO42" s="158">
        <v>187036</v>
      </c>
      <c r="AP42" s="594">
        <v>0</v>
      </c>
      <c r="AQ42" s="638">
        <v>1574218.68</v>
      </c>
      <c r="AR42" s="638">
        <v>1766762.76</v>
      </c>
      <c r="AS42" s="638">
        <v>1911885.24</v>
      </c>
      <c r="AT42" s="638">
        <v>1840692.84</v>
      </c>
      <c r="AU42" s="638">
        <v>82853.62</v>
      </c>
      <c r="AV42" s="638">
        <v>187037.02</v>
      </c>
      <c r="AW42" s="786">
        <v>215263</v>
      </c>
      <c r="AX42" s="720">
        <v>215263</v>
      </c>
      <c r="AY42" s="720">
        <v>0</v>
      </c>
      <c r="AZ42" s="615">
        <v>474864.49013499991</v>
      </c>
      <c r="BA42" s="668"/>
      <c r="BB42" s="668"/>
      <c r="BC42" s="668"/>
      <c r="BD42" s="668"/>
      <c r="BE42" s="668"/>
      <c r="BF42" s="182"/>
      <c r="BG42" s="182">
        <v>0</v>
      </c>
      <c r="BH42" s="182">
        <f>93518*2</f>
        <v>187036</v>
      </c>
      <c r="BI42" s="11">
        <f>93518*2</f>
        <v>187036</v>
      </c>
      <c r="BJ42" s="181">
        <f t="shared" si="7"/>
        <v>187036</v>
      </c>
      <c r="BK42" s="11"/>
      <c r="BV42" s="11"/>
    </row>
    <row r="43" spans="1:74" s="10" customFormat="1" ht="90.75" thickBot="1" x14ac:dyDescent="0.3">
      <c r="A43" s="1">
        <v>42</v>
      </c>
      <c r="B43" s="2" t="s">
        <v>261</v>
      </c>
      <c r="C43" s="3" t="s">
        <v>1234</v>
      </c>
      <c r="D43" s="3" t="s">
        <v>339</v>
      </c>
      <c r="E43" s="3" t="s">
        <v>1235</v>
      </c>
      <c r="F43" s="12" t="s">
        <v>1020</v>
      </c>
      <c r="G43" s="4" t="s">
        <v>264</v>
      </c>
      <c r="H43" s="4" t="s">
        <v>1375</v>
      </c>
      <c r="I43" s="2" t="s">
        <v>262</v>
      </c>
      <c r="J43" s="12" t="s">
        <v>992</v>
      </c>
      <c r="K43" s="3" t="s">
        <v>263</v>
      </c>
      <c r="L43" s="3" t="s">
        <v>10</v>
      </c>
      <c r="M43" s="240" t="s">
        <v>34</v>
      </c>
      <c r="N43" s="240" t="s">
        <v>34</v>
      </c>
      <c r="O43" s="240" t="s">
        <v>34</v>
      </c>
      <c r="P43" s="17" t="s">
        <v>189</v>
      </c>
      <c r="Q43" s="16" t="s">
        <v>265</v>
      </c>
      <c r="R43" s="16">
        <v>0</v>
      </c>
      <c r="S43" s="12">
        <v>150</v>
      </c>
      <c r="T43" s="12">
        <v>0</v>
      </c>
      <c r="U43" s="12">
        <v>150</v>
      </c>
      <c r="V43" s="12">
        <v>0</v>
      </c>
      <c r="W43" s="12">
        <v>150</v>
      </c>
      <c r="X43" s="6">
        <f t="shared" si="9"/>
        <v>0</v>
      </c>
      <c r="Y43" s="6">
        <f t="shared" si="8"/>
        <v>300</v>
      </c>
      <c r="Z43" s="12">
        <f t="shared" si="13"/>
        <v>450</v>
      </c>
      <c r="AA43" s="811">
        <v>0</v>
      </c>
      <c r="AB43" s="811" t="s">
        <v>1553</v>
      </c>
      <c r="AC43" s="836">
        <f t="shared" si="2"/>
        <v>0</v>
      </c>
      <c r="AD43" s="836">
        <v>0</v>
      </c>
      <c r="AE43" s="811">
        <v>0.3</v>
      </c>
      <c r="AF43" s="811">
        <v>0.54620000000000002</v>
      </c>
      <c r="AG43" s="836">
        <f t="shared" si="3"/>
        <v>0</v>
      </c>
      <c r="AH43" s="836">
        <f t="shared" si="4"/>
        <v>0</v>
      </c>
      <c r="AI43" s="794">
        <f t="shared" si="5"/>
        <v>0</v>
      </c>
      <c r="AJ43" s="794">
        <f t="shared" si="6"/>
        <v>0</v>
      </c>
      <c r="AK43" s="22">
        <v>3533333</v>
      </c>
      <c r="AL43" s="9">
        <v>448743</v>
      </c>
      <c r="AM43" s="9">
        <f t="shared" si="14"/>
        <v>3982076</v>
      </c>
      <c r="AN43" s="165">
        <v>40419</v>
      </c>
      <c r="AO43" s="77">
        <v>80838</v>
      </c>
      <c r="AP43" s="171">
        <v>40419</v>
      </c>
      <c r="AQ43" s="647" t="s">
        <v>1336</v>
      </c>
      <c r="AR43" s="645">
        <v>1333333</v>
      </c>
      <c r="AS43" s="645">
        <v>1250000</v>
      </c>
      <c r="AT43" s="645">
        <v>950000</v>
      </c>
      <c r="AU43" s="647" t="s">
        <v>1336</v>
      </c>
      <c r="AV43" s="645">
        <v>80838.690000004499</v>
      </c>
      <c r="AW43" s="784">
        <v>58738.5</v>
      </c>
      <c r="AX43" s="785">
        <v>58739</v>
      </c>
      <c r="AY43" s="785">
        <v>0</v>
      </c>
      <c r="AZ43" s="622">
        <v>250427.2204724981</v>
      </c>
      <c r="BA43" s="669"/>
      <c r="BB43" s="669"/>
      <c r="BC43" s="669"/>
      <c r="BD43" s="669"/>
      <c r="BE43" s="669"/>
      <c r="BF43" s="184"/>
      <c r="BG43" s="184">
        <v>42419</v>
      </c>
      <c r="BH43" s="184">
        <v>40419</v>
      </c>
      <c r="BI43" s="181">
        <v>80838</v>
      </c>
      <c r="BJ43" s="181">
        <f t="shared" si="7"/>
        <v>82838</v>
      </c>
      <c r="BK43" s="11"/>
    </row>
    <row r="44" spans="1:74" s="10" customFormat="1" ht="135.75" thickBot="1" x14ac:dyDescent="0.3">
      <c r="A44" s="1">
        <v>43</v>
      </c>
      <c r="B44" s="2" t="s">
        <v>266</v>
      </c>
      <c r="C44" s="37" t="s">
        <v>267</v>
      </c>
      <c r="D44" s="3" t="s">
        <v>339</v>
      </c>
      <c r="E44" s="3" t="s">
        <v>1226</v>
      </c>
      <c r="F44" s="3" t="s">
        <v>51</v>
      </c>
      <c r="G44" s="4" t="s">
        <v>270</v>
      </c>
      <c r="H44" s="613" t="s">
        <v>1376</v>
      </c>
      <c r="I44" s="172" t="s">
        <v>268</v>
      </c>
      <c r="J44" s="3" t="s">
        <v>1000</v>
      </c>
      <c r="K44" s="3" t="s">
        <v>269</v>
      </c>
      <c r="L44" s="3" t="s">
        <v>10</v>
      </c>
      <c r="M44" s="14">
        <v>1393</v>
      </c>
      <c r="N44" s="6">
        <v>20378</v>
      </c>
      <c r="O44" s="15">
        <v>14.62886</v>
      </c>
      <c r="P44" s="17" t="s">
        <v>28</v>
      </c>
      <c r="Q44" s="16" t="s">
        <v>271</v>
      </c>
      <c r="R44" s="16">
        <v>13034</v>
      </c>
      <c r="S44" s="12">
        <v>1200</v>
      </c>
      <c r="T44" s="12">
        <v>4510</v>
      </c>
      <c r="U44" s="12">
        <v>3200</v>
      </c>
      <c r="V44" s="12">
        <v>4510</v>
      </c>
      <c r="W44" s="27">
        <v>4800</v>
      </c>
      <c r="X44" s="6">
        <f t="shared" si="9"/>
        <v>9020</v>
      </c>
      <c r="Y44" s="6">
        <f t="shared" si="8"/>
        <v>4400</v>
      </c>
      <c r="Z44" s="12">
        <f t="shared" si="13"/>
        <v>9200</v>
      </c>
      <c r="AA44" s="811">
        <v>0.72</v>
      </c>
      <c r="AB44" s="811">
        <v>0.72770000000000001</v>
      </c>
      <c r="AC44" s="836">
        <f t="shared" si="2"/>
        <v>3247.2</v>
      </c>
      <c r="AD44" s="836">
        <f>AB44*T44</f>
        <v>3281.9270000000001</v>
      </c>
      <c r="AE44" s="811">
        <v>0.72</v>
      </c>
      <c r="AF44" s="811">
        <v>0.7198</v>
      </c>
      <c r="AG44" s="836">
        <f t="shared" si="3"/>
        <v>3247.2</v>
      </c>
      <c r="AH44" s="836">
        <f t="shared" si="4"/>
        <v>3246.2979999999998</v>
      </c>
      <c r="AI44" s="794">
        <f t="shared" si="5"/>
        <v>6494.4</v>
      </c>
      <c r="AJ44" s="794">
        <f t="shared" si="6"/>
        <v>6528.2250000000004</v>
      </c>
      <c r="AK44" s="8">
        <v>21641667</v>
      </c>
      <c r="AL44" s="9">
        <v>5378429</v>
      </c>
      <c r="AM44" s="9">
        <f t="shared" si="14"/>
        <v>27020096</v>
      </c>
      <c r="AN44" s="77">
        <v>737734</v>
      </c>
      <c r="AO44" s="77">
        <v>737734</v>
      </c>
      <c r="AP44" s="171">
        <v>0</v>
      </c>
      <c r="AQ44" s="638">
        <v>5292784</v>
      </c>
      <c r="AR44" s="638">
        <v>5774143</v>
      </c>
      <c r="AS44" s="638">
        <v>5790929</v>
      </c>
      <c r="AT44" s="638">
        <v>4783811</v>
      </c>
      <c r="AU44" s="638">
        <v>622680</v>
      </c>
      <c r="AV44" s="638">
        <v>737734.25674400013</v>
      </c>
      <c r="AW44" s="786">
        <v>1186437.249668</v>
      </c>
      <c r="AX44" s="720">
        <v>1186438</v>
      </c>
      <c r="AY44" s="720">
        <v>0</v>
      </c>
      <c r="AZ44" s="615">
        <v>2831578.0638279999</v>
      </c>
      <c r="BA44" s="668"/>
      <c r="BB44" s="668"/>
      <c r="BC44" s="668"/>
      <c r="BD44" s="668"/>
      <c r="BE44" s="668"/>
      <c r="BF44" s="184"/>
      <c r="BG44" s="184">
        <v>0</v>
      </c>
      <c r="BH44" s="184">
        <v>737734</v>
      </c>
      <c r="BI44" s="181">
        <v>737734</v>
      </c>
      <c r="BJ44" s="181">
        <f t="shared" si="7"/>
        <v>737734</v>
      </c>
      <c r="BK44" s="11"/>
    </row>
    <row r="45" spans="1:74" s="10" customFormat="1" ht="138" customHeight="1" thickBot="1" x14ac:dyDescent="0.3">
      <c r="A45" s="1">
        <v>44</v>
      </c>
      <c r="B45" s="2" t="s">
        <v>266</v>
      </c>
      <c r="C45" s="37" t="s">
        <v>272</v>
      </c>
      <c r="D45" s="3" t="s">
        <v>339</v>
      </c>
      <c r="E45" s="3" t="s">
        <v>1226</v>
      </c>
      <c r="F45" s="12" t="s">
        <v>51</v>
      </c>
      <c r="G45" s="4" t="s">
        <v>274</v>
      </c>
      <c r="H45" s="613" t="s">
        <v>1377</v>
      </c>
      <c r="I45" s="172" t="s">
        <v>273</v>
      </c>
      <c r="J45" s="12" t="s">
        <v>1003</v>
      </c>
      <c r="K45" s="3" t="s">
        <v>269</v>
      </c>
      <c r="L45" s="3" t="s">
        <v>10</v>
      </c>
      <c r="M45" s="14">
        <v>118</v>
      </c>
      <c r="N45" s="6">
        <v>923</v>
      </c>
      <c r="O45" s="15">
        <v>7.8220340000000004</v>
      </c>
      <c r="P45" s="17" t="s">
        <v>28</v>
      </c>
      <c r="Q45" s="16" t="s">
        <v>275</v>
      </c>
      <c r="R45" s="16">
        <v>2728</v>
      </c>
      <c r="S45" s="27">
        <v>1837</v>
      </c>
      <c r="T45" s="27">
        <v>1840</v>
      </c>
      <c r="U45" s="27">
        <v>3122</v>
      </c>
      <c r="V45" s="27">
        <v>409</v>
      </c>
      <c r="W45" s="27">
        <v>4371</v>
      </c>
      <c r="X45" s="6">
        <f t="shared" si="9"/>
        <v>2249</v>
      </c>
      <c r="Y45" s="6">
        <f t="shared" si="8"/>
        <v>4959</v>
      </c>
      <c r="Z45" s="12">
        <f t="shared" si="13"/>
        <v>9330</v>
      </c>
      <c r="AA45" s="811">
        <v>0.72</v>
      </c>
      <c r="AB45" s="811">
        <v>0.75480000000000003</v>
      </c>
      <c r="AC45" s="836">
        <f t="shared" si="2"/>
        <v>1324.8</v>
      </c>
      <c r="AD45" s="836">
        <f>AB45*T45</f>
        <v>1388.8320000000001</v>
      </c>
      <c r="AE45" s="811">
        <v>0.72</v>
      </c>
      <c r="AF45" s="811">
        <v>0.7641</v>
      </c>
      <c r="AG45" s="836">
        <f t="shared" si="3"/>
        <v>294.47999999999996</v>
      </c>
      <c r="AH45" s="836">
        <f t="shared" si="4"/>
        <v>312.51690000000002</v>
      </c>
      <c r="AI45" s="794">
        <f t="shared" si="5"/>
        <v>1619.28</v>
      </c>
      <c r="AJ45" s="794">
        <f t="shared" si="6"/>
        <v>1701.3489000000002</v>
      </c>
      <c r="AK45" s="8">
        <v>18446459</v>
      </c>
      <c r="AL45" s="9">
        <v>4535589</v>
      </c>
      <c r="AM45" s="9">
        <f t="shared" si="14"/>
        <v>22982048</v>
      </c>
      <c r="AN45" s="77">
        <v>621249</v>
      </c>
      <c r="AO45" s="77">
        <v>621249</v>
      </c>
      <c r="AP45" s="171">
        <v>0</v>
      </c>
      <c r="AQ45" s="638">
        <v>4511350</v>
      </c>
      <c r="AR45" s="638">
        <v>4921640</v>
      </c>
      <c r="AS45" s="638">
        <v>4935947</v>
      </c>
      <c r="AT45" s="638">
        <v>4077522</v>
      </c>
      <c r="AU45" s="638">
        <v>530747</v>
      </c>
      <c r="AV45" s="638">
        <v>621249.90041600016</v>
      </c>
      <c r="AW45" s="786">
        <v>999105.05235200014</v>
      </c>
      <c r="AX45" s="720">
        <v>999066</v>
      </c>
      <c r="AY45" s="720">
        <v>0</v>
      </c>
      <c r="AZ45" s="615">
        <v>2384486.7905919999</v>
      </c>
      <c r="BA45" s="668"/>
      <c r="BB45" s="668"/>
      <c r="BC45" s="668"/>
      <c r="BD45" s="668"/>
      <c r="BE45" s="668"/>
      <c r="BF45" s="184"/>
      <c r="BG45" s="184">
        <v>0</v>
      </c>
      <c r="BH45" s="184">
        <v>621249</v>
      </c>
      <c r="BI45" s="181">
        <v>621249</v>
      </c>
      <c r="BJ45" s="181">
        <f t="shared" si="7"/>
        <v>621249</v>
      </c>
      <c r="BK45" s="11"/>
    </row>
    <row r="46" spans="1:74" s="24" customFormat="1" ht="120.75" thickBot="1" x14ac:dyDescent="0.3">
      <c r="A46" s="1">
        <v>45</v>
      </c>
      <c r="B46" s="211" t="s">
        <v>276</v>
      </c>
      <c r="C46" s="211" t="s">
        <v>277</v>
      </c>
      <c r="D46" s="211" t="s">
        <v>339</v>
      </c>
      <c r="E46" s="211" t="s">
        <v>1230</v>
      </c>
      <c r="F46" s="211" t="s">
        <v>51</v>
      </c>
      <c r="G46" s="213" t="s">
        <v>280</v>
      </c>
      <c r="H46" s="613" t="s">
        <v>1378</v>
      </c>
      <c r="I46" s="214" t="s">
        <v>278</v>
      </c>
      <c r="J46" s="211" t="s">
        <v>995</v>
      </c>
      <c r="K46" s="211" t="s">
        <v>279</v>
      </c>
      <c r="L46" s="211" t="s">
        <v>10</v>
      </c>
      <c r="M46" s="212" t="s">
        <v>34</v>
      </c>
      <c r="N46" s="212" t="s">
        <v>281</v>
      </c>
      <c r="O46" s="212" t="s">
        <v>34</v>
      </c>
      <c r="P46" s="218" t="s">
        <v>28</v>
      </c>
      <c r="Q46" s="222" t="s">
        <v>282</v>
      </c>
      <c r="R46" s="222">
        <v>0</v>
      </c>
      <c r="S46" s="212">
        <v>200</v>
      </c>
      <c r="T46" s="212">
        <v>0</v>
      </c>
      <c r="U46" s="212">
        <v>200</v>
      </c>
      <c r="V46" s="212">
        <v>0</v>
      </c>
      <c r="W46" s="212">
        <v>200</v>
      </c>
      <c r="X46" s="6">
        <f t="shared" si="9"/>
        <v>0</v>
      </c>
      <c r="Y46" s="6">
        <f t="shared" si="8"/>
        <v>400</v>
      </c>
      <c r="Z46" s="12">
        <f t="shared" si="13"/>
        <v>600</v>
      </c>
      <c r="AA46" s="812">
        <v>0.96</v>
      </c>
      <c r="AB46" s="812">
        <v>0.81200000000000006</v>
      </c>
      <c r="AC46" s="836">
        <f t="shared" si="2"/>
        <v>0</v>
      </c>
      <c r="AD46" s="836">
        <f>AB46*T46</f>
        <v>0</v>
      </c>
      <c r="AE46" s="812">
        <v>0.96</v>
      </c>
      <c r="AF46" s="812">
        <v>0.6</v>
      </c>
      <c r="AG46" s="836">
        <f t="shared" si="3"/>
        <v>0</v>
      </c>
      <c r="AH46" s="836">
        <f t="shared" si="4"/>
        <v>0</v>
      </c>
      <c r="AI46" s="794">
        <f t="shared" si="5"/>
        <v>0</v>
      </c>
      <c r="AJ46" s="794">
        <f t="shared" si="6"/>
        <v>0</v>
      </c>
      <c r="AK46" s="220">
        <v>3550000</v>
      </c>
      <c r="AL46" s="713">
        <v>450000</v>
      </c>
      <c r="AM46" s="221">
        <f t="shared" si="14"/>
        <v>4000000</v>
      </c>
      <c r="AN46" s="714">
        <v>50000</v>
      </c>
      <c r="AO46" s="682">
        <v>100000</v>
      </c>
      <c r="AP46" s="718">
        <v>50000</v>
      </c>
      <c r="AQ46" s="628">
        <v>950000</v>
      </c>
      <c r="AR46" s="628">
        <v>900000</v>
      </c>
      <c r="AS46" s="628">
        <v>900000</v>
      </c>
      <c r="AT46" s="628">
        <v>800000</v>
      </c>
      <c r="AU46" s="628">
        <v>50000</v>
      </c>
      <c r="AV46" s="628">
        <v>100000</v>
      </c>
      <c r="AW46" s="787">
        <v>99999</v>
      </c>
      <c r="AX46" s="780">
        <v>0</v>
      </c>
      <c r="AY46" s="780">
        <v>99999</v>
      </c>
      <c r="AZ46" s="615">
        <v>200000</v>
      </c>
      <c r="BA46" s="668"/>
      <c r="BB46" s="668"/>
      <c r="BC46" s="668"/>
      <c r="BD46" s="668"/>
      <c r="BE46" s="668"/>
      <c r="BF46" s="182"/>
      <c r="BG46" s="182">
        <v>0</v>
      </c>
      <c r="BH46" s="244">
        <v>25000</v>
      </c>
      <c r="BI46" s="244">
        <v>75000</v>
      </c>
      <c r="BJ46" s="245">
        <f t="shared" si="7"/>
        <v>25000</v>
      </c>
      <c r="BK46" s="11"/>
    </row>
    <row r="47" spans="1:74" s="10" customFormat="1" ht="91.5" customHeight="1" thickBot="1" x14ac:dyDescent="0.3">
      <c r="A47" s="1">
        <v>46</v>
      </c>
      <c r="B47" s="3" t="s">
        <v>283</v>
      </c>
      <c r="C47" s="3" t="s">
        <v>284</v>
      </c>
      <c r="D47" s="3" t="s">
        <v>339</v>
      </c>
      <c r="E47" s="3" t="s">
        <v>1227</v>
      </c>
      <c r="F47" s="12" t="s">
        <v>8</v>
      </c>
      <c r="G47" s="4" t="s">
        <v>286</v>
      </c>
      <c r="H47" s="636" t="s">
        <v>1379</v>
      </c>
      <c r="I47" s="2" t="s">
        <v>285</v>
      </c>
      <c r="J47" s="12" t="s">
        <v>992</v>
      </c>
      <c r="K47" s="3" t="s">
        <v>1189</v>
      </c>
      <c r="L47" s="3" t="s">
        <v>10</v>
      </c>
      <c r="M47" s="14">
        <v>17596</v>
      </c>
      <c r="N47" s="6">
        <v>2203</v>
      </c>
      <c r="O47" s="15">
        <v>0.125199</v>
      </c>
      <c r="P47" s="17" t="s">
        <v>28</v>
      </c>
      <c r="Q47" s="16" t="s">
        <v>287</v>
      </c>
      <c r="R47" s="16">
        <v>0</v>
      </c>
      <c r="S47" s="12">
        <v>5400</v>
      </c>
      <c r="T47" s="12">
        <v>0</v>
      </c>
      <c r="U47" s="12">
        <v>5400</v>
      </c>
      <c r="V47" s="12">
        <v>0</v>
      </c>
      <c r="W47" s="12">
        <v>5400</v>
      </c>
      <c r="X47" s="6">
        <f t="shared" si="9"/>
        <v>0</v>
      </c>
      <c r="Y47" s="6">
        <f t="shared" si="8"/>
        <v>10800</v>
      </c>
      <c r="Z47" s="12">
        <f t="shared" si="13"/>
        <v>16200</v>
      </c>
      <c r="AA47" s="811">
        <v>0</v>
      </c>
      <c r="AB47" s="811" t="s">
        <v>1553</v>
      </c>
      <c r="AC47" s="836">
        <f t="shared" si="2"/>
        <v>0</v>
      </c>
      <c r="AD47" s="836">
        <v>0</v>
      </c>
      <c r="AE47" s="811">
        <v>0.95</v>
      </c>
      <c r="AF47" s="811">
        <v>0.71899999999999997</v>
      </c>
      <c r="AG47" s="836">
        <f t="shared" si="3"/>
        <v>0</v>
      </c>
      <c r="AH47" s="836">
        <f t="shared" si="4"/>
        <v>0</v>
      </c>
      <c r="AI47" s="794">
        <f t="shared" si="5"/>
        <v>0</v>
      </c>
      <c r="AJ47" s="794">
        <f t="shared" si="6"/>
        <v>0</v>
      </c>
      <c r="AK47" s="8">
        <v>16559854</v>
      </c>
      <c r="AL47" s="9">
        <v>4001353</v>
      </c>
      <c r="AM47" s="9">
        <f t="shared" si="14"/>
        <v>20561207</v>
      </c>
      <c r="AN47" s="77">
        <v>547788</v>
      </c>
      <c r="AO47" s="77">
        <v>547768</v>
      </c>
      <c r="AP47" s="171">
        <v>0</v>
      </c>
      <c r="AQ47" s="614">
        <v>4049953</v>
      </c>
      <c r="AR47" s="614">
        <v>4418281</v>
      </c>
      <c r="AS47" s="614">
        <v>4431125</v>
      </c>
      <c r="AT47" s="614">
        <v>3660495</v>
      </c>
      <c r="AU47" s="614">
        <v>472585</v>
      </c>
      <c r="AV47" s="614">
        <v>547787.15</v>
      </c>
      <c r="AW47" s="779">
        <v>879007.15</v>
      </c>
      <c r="AX47" s="779">
        <v>0</v>
      </c>
      <c r="AY47" s="777">
        <v>879008</v>
      </c>
      <c r="AZ47" s="643">
        <v>2101973.7000000002</v>
      </c>
      <c r="BA47" s="668"/>
      <c r="BB47" s="668"/>
      <c r="BC47" s="668"/>
      <c r="BD47" s="668"/>
      <c r="BE47" s="668"/>
      <c r="BF47" s="184"/>
      <c r="BG47" s="184">
        <v>0</v>
      </c>
      <c r="BH47" s="184">
        <v>547768</v>
      </c>
      <c r="BI47" s="181">
        <v>547768</v>
      </c>
      <c r="BJ47" s="181">
        <f t="shared" si="7"/>
        <v>547768</v>
      </c>
      <c r="BK47" s="11"/>
    </row>
    <row r="48" spans="1:74" s="10" customFormat="1" ht="105.95" customHeight="1" thickBot="1" x14ac:dyDescent="0.3">
      <c r="A48" s="1">
        <v>47</v>
      </c>
      <c r="B48" s="3" t="s">
        <v>288</v>
      </c>
      <c r="C48" s="2" t="s">
        <v>289</v>
      </c>
      <c r="D48" s="3" t="s">
        <v>339</v>
      </c>
      <c r="E48" s="3" t="s">
        <v>1226</v>
      </c>
      <c r="F48" s="12" t="s">
        <v>17</v>
      </c>
      <c r="G48" s="4" t="s">
        <v>292</v>
      </c>
      <c r="H48" s="4" t="s">
        <v>1380</v>
      </c>
      <c r="I48" s="2" t="s">
        <v>290</v>
      </c>
      <c r="J48" s="12" t="s">
        <v>1007</v>
      </c>
      <c r="K48" s="3" t="s">
        <v>291</v>
      </c>
      <c r="L48" s="3" t="s">
        <v>10</v>
      </c>
      <c r="M48" s="14" t="s">
        <v>293</v>
      </c>
      <c r="N48" s="6" t="s">
        <v>294</v>
      </c>
      <c r="O48" s="15" t="s">
        <v>1069</v>
      </c>
      <c r="P48" s="17" t="s">
        <v>12</v>
      </c>
      <c r="Q48" s="16" t="s">
        <v>295</v>
      </c>
      <c r="R48" s="16">
        <v>0</v>
      </c>
      <c r="S48" s="21">
        <v>800</v>
      </c>
      <c r="T48" s="21">
        <v>0</v>
      </c>
      <c r="U48" s="21">
        <v>800</v>
      </c>
      <c r="V48" s="21">
        <v>0</v>
      </c>
      <c r="W48" s="21">
        <v>800</v>
      </c>
      <c r="X48" s="6">
        <f t="shared" si="9"/>
        <v>0</v>
      </c>
      <c r="Y48" s="6">
        <f t="shared" si="8"/>
        <v>1600</v>
      </c>
      <c r="Z48" s="12">
        <f t="shared" si="13"/>
        <v>2400</v>
      </c>
      <c r="AA48" s="811">
        <v>0.1</v>
      </c>
      <c r="AB48" s="811">
        <v>0.373</v>
      </c>
      <c r="AC48" s="836">
        <f t="shared" si="2"/>
        <v>0</v>
      </c>
      <c r="AD48" s="836">
        <f t="shared" ref="AD48:AD56" si="15">AB48*T48</f>
        <v>0</v>
      </c>
      <c r="AE48" s="811">
        <v>0.1</v>
      </c>
      <c r="AF48" s="811">
        <v>0.21429999999999999</v>
      </c>
      <c r="AG48" s="836">
        <f t="shared" si="3"/>
        <v>0</v>
      </c>
      <c r="AH48" s="836">
        <f t="shared" si="4"/>
        <v>0</v>
      </c>
      <c r="AI48" s="794">
        <f t="shared" si="5"/>
        <v>0</v>
      </c>
      <c r="AJ48" s="794">
        <f t="shared" si="6"/>
        <v>0</v>
      </c>
      <c r="AK48" s="22">
        <v>1199000</v>
      </c>
      <c r="AL48" s="9">
        <v>253204</v>
      </c>
      <c r="AM48" s="9">
        <f t="shared" si="14"/>
        <v>1452204</v>
      </c>
      <c r="AN48" s="158">
        <v>39520</v>
      </c>
      <c r="AO48" s="158">
        <v>39520</v>
      </c>
      <c r="AP48" s="594">
        <v>0</v>
      </c>
      <c r="AQ48" s="594" t="s">
        <v>1336</v>
      </c>
      <c r="AR48" s="620">
        <v>445000</v>
      </c>
      <c r="AS48" s="620">
        <v>431600</v>
      </c>
      <c r="AT48" s="620">
        <v>322400</v>
      </c>
      <c r="AU48" s="719" t="s">
        <v>1336</v>
      </c>
      <c r="AV48" s="620">
        <v>39521.26</v>
      </c>
      <c r="AW48" s="782">
        <v>63892</v>
      </c>
      <c r="AX48" s="778">
        <v>63892</v>
      </c>
      <c r="AY48" s="778">
        <v>0</v>
      </c>
      <c r="AZ48" s="622">
        <v>149790.39999999999</v>
      </c>
      <c r="BA48" s="669"/>
      <c r="BB48" s="669"/>
      <c r="BC48" s="669"/>
      <c r="BD48" s="669"/>
      <c r="BE48" s="669"/>
      <c r="BF48" s="182"/>
      <c r="BG48" s="182">
        <v>0</v>
      </c>
      <c r="BH48" s="182">
        <f>19760*2</f>
        <v>39520</v>
      </c>
      <c r="BI48" s="11">
        <f>19760*2</f>
        <v>39520</v>
      </c>
      <c r="BJ48" s="181">
        <f t="shared" si="7"/>
        <v>39520</v>
      </c>
      <c r="BK48" s="11"/>
    </row>
    <row r="49" spans="1:63" s="10" customFormat="1" ht="169.5" customHeight="1" thickBot="1" x14ac:dyDescent="0.3">
      <c r="A49" s="1">
        <v>48</v>
      </c>
      <c r="B49" s="2" t="s">
        <v>296</v>
      </c>
      <c r="C49" s="3" t="s">
        <v>297</v>
      </c>
      <c r="D49" s="3" t="s">
        <v>339</v>
      </c>
      <c r="E49" s="3" t="s">
        <v>1233</v>
      </c>
      <c r="F49" s="12" t="s">
        <v>1020</v>
      </c>
      <c r="G49" s="4" t="s">
        <v>299</v>
      </c>
      <c r="H49" s="613" t="s">
        <v>1381</v>
      </c>
      <c r="I49" s="2" t="s">
        <v>298</v>
      </c>
      <c r="J49" s="12" t="s">
        <v>992</v>
      </c>
      <c r="K49" s="3" t="s">
        <v>324</v>
      </c>
      <c r="L49" s="3" t="s">
        <v>10</v>
      </c>
      <c r="M49" s="14">
        <v>48955</v>
      </c>
      <c r="N49" s="6">
        <v>15420</v>
      </c>
      <c r="O49" s="15">
        <v>0.31498300000000001</v>
      </c>
      <c r="P49" s="21" t="s">
        <v>111</v>
      </c>
      <c r="Q49" s="16" t="s">
        <v>300</v>
      </c>
      <c r="R49" s="16">
        <v>0</v>
      </c>
      <c r="S49" s="12">
        <v>4334</v>
      </c>
      <c r="T49" s="12">
        <v>0</v>
      </c>
      <c r="U49" s="12">
        <v>4334</v>
      </c>
      <c r="V49" s="12">
        <v>0</v>
      </c>
      <c r="W49" s="12">
        <v>4334</v>
      </c>
      <c r="X49" s="6">
        <f t="shared" si="9"/>
        <v>0</v>
      </c>
      <c r="Y49" s="6">
        <f t="shared" si="8"/>
        <v>8668</v>
      </c>
      <c r="Z49" s="12">
        <f t="shared" si="13"/>
        <v>13002</v>
      </c>
      <c r="AA49" s="811">
        <v>0.33</v>
      </c>
      <c r="AB49" s="811">
        <v>0.11120000000000001</v>
      </c>
      <c r="AC49" s="836">
        <f t="shared" si="2"/>
        <v>0</v>
      </c>
      <c r="AD49" s="836">
        <f t="shared" si="15"/>
        <v>0</v>
      </c>
      <c r="AE49" s="811">
        <v>0.33</v>
      </c>
      <c r="AF49" s="811">
        <v>0.1421</v>
      </c>
      <c r="AG49" s="836">
        <f t="shared" si="3"/>
        <v>0</v>
      </c>
      <c r="AH49" s="836">
        <f t="shared" si="4"/>
        <v>0</v>
      </c>
      <c r="AI49" s="794">
        <f t="shared" si="5"/>
        <v>0</v>
      </c>
      <c r="AJ49" s="794">
        <f t="shared" si="6"/>
        <v>0</v>
      </c>
      <c r="AK49" s="8">
        <v>13443521</v>
      </c>
      <c r="AL49" s="9">
        <v>3077979</v>
      </c>
      <c r="AM49" s="9">
        <f t="shared" si="14"/>
        <v>16521500</v>
      </c>
      <c r="AN49" s="127">
        <v>452644</v>
      </c>
      <c r="AO49" s="77">
        <v>452644</v>
      </c>
      <c r="AP49" s="171">
        <v>0</v>
      </c>
      <c r="AQ49" s="614">
        <v>3847472</v>
      </c>
      <c r="AR49" s="614">
        <v>3621150</v>
      </c>
      <c r="AS49" s="614">
        <v>3394829</v>
      </c>
      <c r="AT49" s="614">
        <v>2580070</v>
      </c>
      <c r="AU49" s="614">
        <v>452644</v>
      </c>
      <c r="AV49" s="614">
        <v>452644</v>
      </c>
      <c r="AW49" s="779">
        <v>678966</v>
      </c>
      <c r="AX49" s="776">
        <v>509225</v>
      </c>
      <c r="AY49" s="776">
        <v>169742</v>
      </c>
      <c r="AZ49" s="615">
        <v>1493725</v>
      </c>
      <c r="BA49" s="668"/>
      <c r="BB49" s="668"/>
      <c r="BC49" s="668"/>
      <c r="BD49" s="668"/>
      <c r="BE49" s="668"/>
      <c r="BF49" s="184"/>
      <c r="BG49" s="184">
        <v>0</v>
      </c>
      <c r="BH49" s="184">
        <v>452644</v>
      </c>
      <c r="BI49" s="181">
        <v>452644</v>
      </c>
      <c r="BJ49" s="181">
        <f t="shared" si="7"/>
        <v>452644</v>
      </c>
      <c r="BK49" s="11"/>
    </row>
    <row r="50" spans="1:63" s="10" customFormat="1" ht="120.75" thickBot="1" x14ac:dyDescent="0.3">
      <c r="A50" s="1">
        <v>49</v>
      </c>
      <c r="B50" s="2" t="s">
        <v>301</v>
      </c>
      <c r="C50" s="3" t="s">
        <v>302</v>
      </c>
      <c r="D50" s="3" t="s">
        <v>339</v>
      </c>
      <c r="E50" s="3" t="s">
        <v>1228</v>
      </c>
      <c r="F50" s="3" t="s">
        <v>51</v>
      </c>
      <c r="G50" s="4" t="s">
        <v>305</v>
      </c>
      <c r="H50" s="601" t="s">
        <v>1390</v>
      </c>
      <c r="I50" s="2" t="s">
        <v>303</v>
      </c>
      <c r="J50" s="3" t="s">
        <v>1000</v>
      </c>
      <c r="K50" s="3" t="s">
        <v>304</v>
      </c>
      <c r="L50" s="3" t="s">
        <v>10</v>
      </c>
      <c r="M50" s="14">
        <v>877</v>
      </c>
      <c r="N50" s="6">
        <v>10111</v>
      </c>
      <c r="O50" s="15">
        <v>11.52908</v>
      </c>
      <c r="P50" s="17" t="s">
        <v>12</v>
      </c>
      <c r="Q50" s="16" t="s">
        <v>306</v>
      </c>
      <c r="R50" s="16">
        <v>700</v>
      </c>
      <c r="S50" s="12">
        <v>1408</v>
      </c>
      <c r="T50" s="12">
        <v>700</v>
      </c>
      <c r="U50" s="12">
        <v>1408</v>
      </c>
      <c r="V50" s="12">
        <v>700</v>
      </c>
      <c r="W50" s="12">
        <v>1408</v>
      </c>
      <c r="X50" s="6">
        <f t="shared" si="9"/>
        <v>1400</v>
      </c>
      <c r="Y50" s="6">
        <f t="shared" si="8"/>
        <v>2816</v>
      </c>
      <c r="Z50" s="12">
        <f t="shared" si="13"/>
        <v>4224</v>
      </c>
      <c r="AA50" s="811">
        <v>0.18</v>
      </c>
      <c r="AB50" s="811">
        <v>0.14000000000000001</v>
      </c>
      <c r="AC50" s="836">
        <f t="shared" si="2"/>
        <v>126</v>
      </c>
      <c r="AD50" s="836">
        <f t="shared" si="15"/>
        <v>98.000000000000014</v>
      </c>
      <c r="AE50" s="811">
        <v>0.18</v>
      </c>
      <c r="AF50" s="811">
        <v>0.15</v>
      </c>
      <c r="AG50" s="836">
        <f t="shared" si="3"/>
        <v>126</v>
      </c>
      <c r="AH50" s="836">
        <f t="shared" si="4"/>
        <v>105</v>
      </c>
      <c r="AI50" s="794">
        <f t="shared" si="5"/>
        <v>252</v>
      </c>
      <c r="AJ50" s="794">
        <f t="shared" si="6"/>
        <v>203</v>
      </c>
      <c r="AK50" s="8">
        <v>2196500</v>
      </c>
      <c r="AL50" s="9">
        <v>632239</v>
      </c>
      <c r="AM50" s="9">
        <f t="shared" si="14"/>
        <v>2828739</v>
      </c>
      <c r="AN50" s="77">
        <v>65169</v>
      </c>
      <c r="AO50" s="77">
        <v>65169</v>
      </c>
      <c r="AP50" s="171">
        <v>0</v>
      </c>
      <c r="AQ50" s="602">
        <v>537186</v>
      </c>
      <c r="AR50" s="602">
        <v>586041</v>
      </c>
      <c r="AS50" s="602">
        <v>587745</v>
      </c>
      <c r="AT50" s="602">
        <v>485528</v>
      </c>
      <c r="AU50" s="602">
        <v>63189</v>
      </c>
      <c r="AV50" s="602">
        <v>86892.64</v>
      </c>
      <c r="AW50" s="788">
        <v>139432</v>
      </c>
      <c r="AX50" s="780">
        <v>139432</v>
      </c>
      <c r="AY50" s="780">
        <v>0</v>
      </c>
      <c r="AZ50" s="615">
        <v>342725.34</v>
      </c>
      <c r="BA50" s="668"/>
      <c r="BB50" s="668"/>
      <c r="BC50" s="668"/>
      <c r="BD50" s="668"/>
      <c r="BE50" s="668"/>
      <c r="BF50" s="184"/>
      <c r="BG50" s="184">
        <v>0</v>
      </c>
      <c r="BH50" s="184">
        <v>65169</v>
      </c>
      <c r="BI50" s="181">
        <v>65169</v>
      </c>
      <c r="BJ50" s="181">
        <f t="shared" si="7"/>
        <v>65169</v>
      </c>
      <c r="BK50" s="11"/>
    </row>
    <row r="51" spans="1:63" s="10" customFormat="1" ht="225.95" customHeight="1" thickBot="1" x14ac:dyDescent="0.3">
      <c r="A51" s="34">
        <v>50</v>
      </c>
      <c r="B51" s="2" t="s">
        <v>307</v>
      </c>
      <c r="C51" s="3" t="s">
        <v>308</v>
      </c>
      <c r="D51" s="3" t="s">
        <v>339</v>
      </c>
      <c r="E51" s="3" t="s">
        <v>1233</v>
      </c>
      <c r="F51" s="3" t="s">
        <v>1020</v>
      </c>
      <c r="G51" s="4" t="s">
        <v>310</v>
      </c>
      <c r="H51" s="613" t="s">
        <v>1382</v>
      </c>
      <c r="I51" s="2" t="s">
        <v>309</v>
      </c>
      <c r="J51" s="3" t="s">
        <v>992</v>
      </c>
      <c r="K51" s="3" t="s">
        <v>324</v>
      </c>
      <c r="L51" s="3" t="s">
        <v>10</v>
      </c>
      <c r="M51" s="14">
        <v>21370</v>
      </c>
      <c r="N51" s="6">
        <v>5766</v>
      </c>
      <c r="O51" s="15">
        <v>0.269818</v>
      </c>
      <c r="P51" s="5" t="s">
        <v>111</v>
      </c>
      <c r="Q51" s="2" t="s">
        <v>311</v>
      </c>
      <c r="R51" s="2">
        <v>0</v>
      </c>
      <c r="S51" s="3">
        <v>722</v>
      </c>
      <c r="T51" s="3">
        <v>0</v>
      </c>
      <c r="U51" s="3">
        <v>722</v>
      </c>
      <c r="V51" s="3">
        <v>0</v>
      </c>
      <c r="W51" s="3">
        <v>722</v>
      </c>
      <c r="X51" s="6">
        <f t="shared" si="9"/>
        <v>0</v>
      </c>
      <c r="Y51" s="6">
        <f t="shared" si="8"/>
        <v>1444</v>
      </c>
      <c r="Z51" s="12">
        <f t="shared" si="13"/>
        <v>2166</v>
      </c>
      <c r="AA51" s="811">
        <v>0.52</v>
      </c>
      <c r="AB51" s="811">
        <v>0.1895</v>
      </c>
      <c r="AC51" s="836">
        <f t="shared" si="2"/>
        <v>0</v>
      </c>
      <c r="AD51" s="836">
        <f t="shared" si="15"/>
        <v>0</v>
      </c>
      <c r="AE51" s="811">
        <v>0.52</v>
      </c>
      <c r="AF51" s="811">
        <v>0.17499999999999999</v>
      </c>
      <c r="AG51" s="836">
        <f t="shared" si="3"/>
        <v>0</v>
      </c>
      <c r="AH51" s="836">
        <f t="shared" si="4"/>
        <v>0</v>
      </c>
      <c r="AI51" s="794">
        <f t="shared" si="5"/>
        <v>0</v>
      </c>
      <c r="AJ51" s="794">
        <f t="shared" si="6"/>
        <v>0</v>
      </c>
      <c r="AK51" s="709">
        <v>4939422</v>
      </c>
      <c r="AL51" s="9">
        <v>1130912</v>
      </c>
      <c r="AM51" s="9">
        <f t="shared" si="14"/>
        <v>6070334</v>
      </c>
      <c r="AN51" s="127">
        <v>166314</v>
      </c>
      <c r="AO51" s="77">
        <v>166314</v>
      </c>
      <c r="AP51" s="171">
        <v>0</v>
      </c>
      <c r="AQ51" s="614">
        <v>1413640</v>
      </c>
      <c r="AR51" s="614">
        <v>1330480</v>
      </c>
      <c r="AS51" s="614">
        <v>1247330</v>
      </c>
      <c r="AT51" s="614">
        <v>947972</v>
      </c>
      <c r="AU51" s="614">
        <v>166311</v>
      </c>
      <c r="AV51" s="614">
        <v>166314</v>
      </c>
      <c r="AW51" s="776">
        <v>249467</v>
      </c>
      <c r="AX51" s="776">
        <v>124734</v>
      </c>
      <c r="AY51" s="776">
        <v>124734</v>
      </c>
      <c r="AZ51" s="615">
        <v>548820</v>
      </c>
      <c r="BA51" s="668"/>
      <c r="BB51" s="668"/>
      <c r="BC51" s="668"/>
      <c r="BD51" s="668"/>
      <c r="BE51" s="668"/>
      <c r="BF51" s="184"/>
      <c r="BG51" s="184">
        <v>0</v>
      </c>
      <c r="BH51" s="184">
        <v>166314</v>
      </c>
      <c r="BI51" s="181">
        <v>166314</v>
      </c>
      <c r="BJ51" s="181">
        <f t="shared" si="7"/>
        <v>166314</v>
      </c>
      <c r="BK51" s="11"/>
    </row>
    <row r="52" spans="1:63" s="10" customFormat="1" ht="90.95" customHeight="1" thickBot="1" x14ac:dyDescent="0.3">
      <c r="A52" s="1">
        <v>51</v>
      </c>
      <c r="B52" s="2" t="s">
        <v>312</v>
      </c>
      <c r="C52" s="3" t="s">
        <v>313</v>
      </c>
      <c r="D52" s="3" t="s">
        <v>339</v>
      </c>
      <c r="E52" s="3" t="s">
        <v>1233</v>
      </c>
      <c r="F52" s="12" t="s">
        <v>1020</v>
      </c>
      <c r="G52" s="4" t="s">
        <v>315</v>
      </c>
      <c r="H52" s="613" t="s">
        <v>1383</v>
      </c>
      <c r="I52" s="2" t="s">
        <v>314</v>
      </c>
      <c r="J52" s="12" t="s">
        <v>992</v>
      </c>
      <c r="K52" s="3" t="s">
        <v>9</v>
      </c>
      <c r="L52" s="3" t="s">
        <v>10</v>
      </c>
      <c r="M52" s="14">
        <v>0.23799999999999999</v>
      </c>
      <c r="N52" s="6">
        <v>0.156</v>
      </c>
      <c r="O52" s="15">
        <v>0.65546199999999999</v>
      </c>
      <c r="P52" s="17" t="s">
        <v>28</v>
      </c>
      <c r="Q52" s="16" t="s">
        <v>316</v>
      </c>
      <c r="R52" s="16">
        <v>36</v>
      </c>
      <c r="S52" s="12">
        <v>333</v>
      </c>
      <c r="T52" s="12">
        <v>36</v>
      </c>
      <c r="U52" s="12">
        <v>333</v>
      </c>
      <c r="V52" s="12">
        <v>36</v>
      </c>
      <c r="W52" s="12">
        <v>333</v>
      </c>
      <c r="X52" s="6">
        <f t="shared" si="9"/>
        <v>72</v>
      </c>
      <c r="Y52" s="6">
        <f t="shared" si="8"/>
        <v>666</v>
      </c>
      <c r="Z52" s="12">
        <f t="shared" si="13"/>
        <v>999</v>
      </c>
      <c r="AA52" s="811">
        <v>0.22</v>
      </c>
      <c r="AB52" s="811">
        <v>0.35470000000000002</v>
      </c>
      <c r="AC52" s="836">
        <f t="shared" si="2"/>
        <v>7.92</v>
      </c>
      <c r="AD52" s="836">
        <f t="shared" si="15"/>
        <v>12.769200000000001</v>
      </c>
      <c r="AE52" s="811">
        <v>0.22</v>
      </c>
      <c r="AF52" s="811">
        <v>0.72910000000000008</v>
      </c>
      <c r="AG52" s="836">
        <f t="shared" si="3"/>
        <v>7.92</v>
      </c>
      <c r="AH52" s="836">
        <f t="shared" si="4"/>
        <v>26.247600000000002</v>
      </c>
      <c r="AI52" s="794">
        <f t="shared" si="5"/>
        <v>15.84</v>
      </c>
      <c r="AJ52" s="794">
        <f t="shared" si="6"/>
        <v>39.016800000000003</v>
      </c>
      <c r="AK52" s="8">
        <v>8205536</v>
      </c>
      <c r="AL52" s="9">
        <v>3000000</v>
      </c>
      <c r="AM52" s="9">
        <f t="shared" si="14"/>
        <v>11205536</v>
      </c>
      <c r="AN52" s="77">
        <v>400000</v>
      </c>
      <c r="AO52" s="77">
        <v>400000</v>
      </c>
      <c r="AP52" s="171">
        <v>0</v>
      </c>
      <c r="AQ52" s="614">
        <v>2050000</v>
      </c>
      <c r="AR52" s="614">
        <v>2250382</v>
      </c>
      <c r="AS52" s="614">
        <v>2269702</v>
      </c>
      <c r="AT52" s="614">
        <v>1635452</v>
      </c>
      <c r="AU52" s="614">
        <v>350000</v>
      </c>
      <c r="AV52" s="614">
        <v>400000</v>
      </c>
      <c r="AW52" s="779">
        <v>750000</v>
      </c>
      <c r="AX52" s="776">
        <v>750000</v>
      </c>
      <c r="AY52" s="776">
        <v>0</v>
      </c>
      <c r="AZ52" s="615">
        <v>1500000</v>
      </c>
      <c r="BA52" s="668"/>
      <c r="BB52" s="668"/>
      <c r="BC52" s="668"/>
      <c r="BD52" s="668"/>
      <c r="BE52" s="668"/>
      <c r="BF52" s="184"/>
      <c r="BG52" s="184">
        <v>0</v>
      </c>
      <c r="BH52" s="184">
        <v>400000</v>
      </c>
      <c r="BI52" s="181">
        <v>400000</v>
      </c>
      <c r="BJ52" s="181">
        <f t="shared" si="7"/>
        <v>400000</v>
      </c>
      <c r="BK52" s="11"/>
    </row>
    <row r="53" spans="1:63" s="24" customFormat="1" ht="150.94999999999999" customHeight="1" thickBot="1" x14ac:dyDescent="0.3">
      <c r="A53" s="1">
        <v>52</v>
      </c>
      <c r="B53" s="2" t="s">
        <v>312</v>
      </c>
      <c r="C53" s="3" t="s">
        <v>317</v>
      </c>
      <c r="D53" s="3" t="s">
        <v>339</v>
      </c>
      <c r="E53" s="3" t="s">
        <v>1230</v>
      </c>
      <c r="F53" s="3" t="s">
        <v>51</v>
      </c>
      <c r="G53" s="13" t="s">
        <v>319</v>
      </c>
      <c r="H53" s="613" t="s">
        <v>1384</v>
      </c>
      <c r="I53" s="2" t="s">
        <v>318</v>
      </c>
      <c r="J53" s="3" t="s">
        <v>995</v>
      </c>
      <c r="K53" s="3" t="s">
        <v>1190</v>
      </c>
      <c r="L53" s="3" t="s">
        <v>10</v>
      </c>
      <c r="M53" s="14">
        <v>32937</v>
      </c>
      <c r="N53" s="6">
        <v>5361</v>
      </c>
      <c r="O53" s="15">
        <v>0.16276499999999999</v>
      </c>
      <c r="P53" s="17" t="s">
        <v>28</v>
      </c>
      <c r="Q53" s="16" t="s">
        <v>320</v>
      </c>
      <c r="R53" s="16">
        <v>0</v>
      </c>
      <c r="S53" s="12">
        <v>600</v>
      </c>
      <c r="T53" s="12">
        <v>0</v>
      </c>
      <c r="U53" s="3">
        <v>600</v>
      </c>
      <c r="V53" s="3">
        <v>0</v>
      </c>
      <c r="W53" s="12">
        <v>600</v>
      </c>
      <c r="X53" s="6">
        <f t="shared" si="9"/>
        <v>0</v>
      </c>
      <c r="Y53" s="6">
        <f t="shared" si="8"/>
        <v>1200</v>
      </c>
      <c r="Z53" s="12">
        <f t="shared" si="13"/>
        <v>1800</v>
      </c>
      <c r="AA53" s="811">
        <v>0.35</v>
      </c>
      <c r="AB53" s="811">
        <v>0.64</v>
      </c>
      <c r="AC53" s="836">
        <f t="shared" si="2"/>
        <v>0</v>
      </c>
      <c r="AD53" s="836">
        <f t="shared" si="15"/>
        <v>0</v>
      </c>
      <c r="AE53" s="811">
        <v>0.35</v>
      </c>
      <c r="AF53" s="811">
        <v>0.73130000000000006</v>
      </c>
      <c r="AG53" s="836">
        <f t="shared" si="3"/>
        <v>0</v>
      </c>
      <c r="AH53" s="836">
        <f t="shared" si="4"/>
        <v>0</v>
      </c>
      <c r="AI53" s="794">
        <f t="shared" si="5"/>
        <v>0</v>
      </c>
      <c r="AJ53" s="794">
        <f t="shared" si="6"/>
        <v>0</v>
      </c>
      <c r="AK53" s="8">
        <v>12623903</v>
      </c>
      <c r="AL53" s="23">
        <v>3000000</v>
      </c>
      <c r="AM53" s="9">
        <f t="shared" si="14"/>
        <v>15623903</v>
      </c>
      <c r="AN53" s="77">
        <v>400000</v>
      </c>
      <c r="AO53" s="158">
        <v>400000</v>
      </c>
      <c r="AP53" s="594">
        <v>0</v>
      </c>
      <c r="AQ53" s="614">
        <v>3150000</v>
      </c>
      <c r="AR53" s="614">
        <v>3462126</v>
      </c>
      <c r="AS53" s="614">
        <v>3495697</v>
      </c>
      <c r="AT53" s="614">
        <v>2516080</v>
      </c>
      <c r="AU53" s="614">
        <v>350000</v>
      </c>
      <c r="AV53" s="614">
        <v>400000</v>
      </c>
      <c r="AW53" s="779">
        <v>750000</v>
      </c>
      <c r="AX53" s="776">
        <v>0</v>
      </c>
      <c r="AY53" s="776">
        <v>750000</v>
      </c>
      <c r="AZ53" s="615">
        <v>1500000</v>
      </c>
      <c r="BA53" s="668"/>
      <c r="BB53" s="668"/>
      <c r="BC53" s="668"/>
      <c r="BD53" s="668"/>
      <c r="BE53" s="668"/>
      <c r="BF53" s="182"/>
      <c r="BG53" s="182">
        <v>0</v>
      </c>
      <c r="BH53" s="182">
        <v>400000</v>
      </c>
      <c r="BI53" s="179">
        <v>400000</v>
      </c>
      <c r="BJ53" s="181">
        <f t="shared" si="7"/>
        <v>400000</v>
      </c>
      <c r="BK53" s="11"/>
    </row>
    <row r="54" spans="1:63" s="24" customFormat="1" ht="212.45" customHeight="1" thickBot="1" x14ac:dyDescent="0.3">
      <c r="A54" s="697">
        <v>53</v>
      </c>
      <c r="B54" s="698" t="s">
        <v>321</v>
      </c>
      <c r="C54" s="725" t="s">
        <v>322</v>
      </c>
      <c r="D54" s="627" t="s">
        <v>339</v>
      </c>
      <c r="E54" s="3" t="s">
        <v>1227</v>
      </c>
      <c r="F54" s="16" t="s">
        <v>8</v>
      </c>
      <c r="G54" s="4" t="s">
        <v>325</v>
      </c>
      <c r="H54" s="613" t="s">
        <v>1385</v>
      </c>
      <c r="I54" s="173" t="s">
        <v>323</v>
      </c>
      <c r="J54" s="12" t="s">
        <v>992</v>
      </c>
      <c r="K54" s="3" t="s">
        <v>324</v>
      </c>
      <c r="L54" s="3" t="s">
        <v>10</v>
      </c>
      <c r="M54" s="14">
        <v>27327</v>
      </c>
      <c r="N54" s="6">
        <v>983</v>
      </c>
      <c r="O54" s="15">
        <v>3.5971999999999997E-2</v>
      </c>
      <c r="P54" s="17" t="s">
        <v>28</v>
      </c>
      <c r="Q54" s="16" t="s">
        <v>326</v>
      </c>
      <c r="R54" s="16">
        <v>0</v>
      </c>
      <c r="S54" s="12">
        <v>1600</v>
      </c>
      <c r="T54" s="12">
        <v>0</v>
      </c>
      <c r="U54" s="40">
        <v>1600</v>
      </c>
      <c r="V54" s="40">
        <v>0</v>
      </c>
      <c r="W54" s="40">
        <v>1600</v>
      </c>
      <c r="X54" s="6">
        <f t="shared" si="9"/>
        <v>0</v>
      </c>
      <c r="Y54" s="6">
        <f t="shared" si="8"/>
        <v>3200</v>
      </c>
      <c r="Z54" s="12">
        <f t="shared" si="13"/>
        <v>4800</v>
      </c>
      <c r="AA54" s="811">
        <v>0</v>
      </c>
      <c r="AB54" s="811" t="s">
        <v>1553</v>
      </c>
      <c r="AC54" s="836">
        <f t="shared" si="2"/>
        <v>0</v>
      </c>
      <c r="AD54" s="836" t="e">
        <f t="shared" si="15"/>
        <v>#VALUE!</v>
      </c>
      <c r="AE54" s="811">
        <v>0.6</v>
      </c>
      <c r="AF54" s="811">
        <v>0.56459999999999999</v>
      </c>
      <c r="AG54" s="836">
        <f t="shared" si="3"/>
        <v>0</v>
      </c>
      <c r="AH54" s="836">
        <f t="shared" si="4"/>
        <v>0</v>
      </c>
      <c r="AI54" s="794">
        <f t="shared" si="5"/>
        <v>0</v>
      </c>
      <c r="AJ54" s="794">
        <v>0</v>
      </c>
      <c r="AK54" s="8">
        <v>8840021</v>
      </c>
      <c r="AL54" s="23">
        <v>626591</v>
      </c>
      <c r="AM54" s="9">
        <f t="shared" si="14"/>
        <v>9466612</v>
      </c>
      <c r="AN54" s="158">
        <v>109134</v>
      </c>
      <c r="AO54" s="158">
        <v>109134</v>
      </c>
      <c r="AP54" s="594">
        <v>0</v>
      </c>
      <c r="AQ54" s="614">
        <v>2074826</v>
      </c>
      <c r="AR54" s="614">
        <v>2126645</v>
      </c>
      <c r="AS54" s="614">
        <v>2361217</v>
      </c>
      <c r="AT54" s="614">
        <v>2277333</v>
      </c>
      <c r="AU54" s="614">
        <v>109188</v>
      </c>
      <c r="AV54" s="614">
        <v>109133.75</v>
      </c>
      <c r="AW54" s="779">
        <v>166016.5</v>
      </c>
      <c r="AX54" s="776">
        <v>150924</v>
      </c>
      <c r="AY54" s="776">
        <v>0</v>
      </c>
      <c r="AZ54" s="615">
        <v>282499</v>
      </c>
      <c r="BA54" s="668"/>
      <c r="BB54" s="668"/>
      <c r="BC54" s="668"/>
      <c r="BD54" s="668"/>
      <c r="BE54" s="668"/>
      <c r="BF54" s="182"/>
      <c r="BG54" s="182">
        <v>0</v>
      </c>
      <c r="BH54" s="182">
        <v>109134</v>
      </c>
      <c r="BI54" s="179">
        <v>109134</v>
      </c>
      <c r="BJ54" s="181">
        <f t="shared" si="7"/>
        <v>109134</v>
      </c>
      <c r="BK54" s="11"/>
    </row>
    <row r="55" spans="1:63" s="24" customFormat="1" ht="180.75" thickBot="1" x14ac:dyDescent="0.3">
      <c r="A55" s="1">
        <v>54</v>
      </c>
      <c r="B55" s="2" t="s">
        <v>321</v>
      </c>
      <c r="C55" s="38" t="s">
        <v>327</v>
      </c>
      <c r="D55" s="3" t="s">
        <v>339</v>
      </c>
      <c r="E55" s="3" t="s">
        <v>1229</v>
      </c>
      <c r="F55" s="157" t="s">
        <v>1020</v>
      </c>
      <c r="G55" s="607" t="s">
        <v>330</v>
      </c>
      <c r="H55" s="636" t="s">
        <v>1386</v>
      </c>
      <c r="I55" s="637" t="s">
        <v>328</v>
      </c>
      <c r="J55" s="157" t="s">
        <v>992</v>
      </c>
      <c r="K55" s="156" t="s">
        <v>329</v>
      </c>
      <c r="L55" s="156" t="s">
        <v>10</v>
      </c>
      <c r="M55" s="157" t="s">
        <v>34</v>
      </c>
      <c r="N55" s="157" t="s">
        <v>35</v>
      </c>
      <c r="O55" s="157" t="s">
        <v>34</v>
      </c>
      <c r="P55" s="626" t="s">
        <v>28</v>
      </c>
      <c r="Q55" s="600" t="s">
        <v>222</v>
      </c>
      <c r="R55" s="600">
        <v>0</v>
      </c>
      <c r="S55" s="157">
        <v>25</v>
      </c>
      <c r="T55" s="157">
        <v>0</v>
      </c>
      <c r="U55" s="157">
        <v>25</v>
      </c>
      <c r="V55" s="157">
        <v>0</v>
      </c>
      <c r="W55" s="157">
        <v>25</v>
      </c>
      <c r="X55" s="6">
        <f t="shared" si="9"/>
        <v>0</v>
      </c>
      <c r="Y55" s="6">
        <f t="shared" si="8"/>
        <v>50</v>
      </c>
      <c r="Z55" s="12">
        <f t="shared" si="13"/>
        <v>75</v>
      </c>
      <c r="AA55" s="815">
        <v>0.9</v>
      </c>
      <c r="AB55" s="815">
        <v>1</v>
      </c>
      <c r="AC55" s="836">
        <f t="shared" si="2"/>
        <v>0</v>
      </c>
      <c r="AD55" s="836">
        <f t="shared" si="15"/>
        <v>0</v>
      </c>
      <c r="AE55" s="815">
        <v>0.9</v>
      </c>
      <c r="AF55" s="815">
        <v>0.95</v>
      </c>
      <c r="AG55" s="836">
        <f t="shared" si="3"/>
        <v>0</v>
      </c>
      <c r="AH55" s="836">
        <f t="shared" si="4"/>
        <v>0</v>
      </c>
      <c r="AI55" s="794">
        <f t="shared" si="5"/>
        <v>0</v>
      </c>
      <c r="AJ55" s="794">
        <f t="shared" si="6"/>
        <v>0</v>
      </c>
      <c r="AK55" s="608">
        <v>661274</v>
      </c>
      <c r="AL55" s="712">
        <v>152597</v>
      </c>
      <c r="AM55" s="609">
        <f t="shared" si="14"/>
        <v>813871</v>
      </c>
      <c r="AN55" s="610">
        <v>15279</v>
      </c>
      <c r="AO55" s="224">
        <v>30558</v>
      </c>
      <c r="AP55" s="597">
        <v>15279</v>
      </c>
      <c r="AQ55" s="638">
        <v>146751</v>
      </c>
      <c r="AR55" s="638">
        <v>164701</v>
      </c>
      <c r="AS55" s="638">
        <v>178229</v>
      </c>
      <c r="AT55" s="638">
        <v>171593</v>
      </c>
      <c r="AU55" s="638">
        <v>7724</v>
      </c>
      <c r="AV55" s="638">
        <v>30557.45</v>
      </c>
      <c r="AW55" s="720">
        <v>35215.599999999999</v>
      </c>
      <c r="AX55" s="720">
        <v>0</v>
      </c>
      <c r="AY55" s="720">
        <v>35216</v>
      </c>
      <c r="AZ55" s="640">
        <v>79099.72</v>
      </c>
      <c r="BA55" s="668"/>
      <c r="BB55" s="668"/>
      <c r="BC55" s="668"/>
      <c r="BD55" s="668"/>
      <c r="BE55" s="668"/>
      <c r="BF55" s="182"/>
      <c r="BG55" s="182">
        <v>0</v>
      </c>
      <c r="BH55" s="244">
        <v>15279</v>
      </c>
      <c r="BI55" s="244">
        <v>30558</v>
      </c>
      <c r="BJ55" s="245">
        <f t="shared" si="7"/>
        <v>15279</v>
      </c>
      <c r="BK55" s="11"/>
    </row>
    <row r="56" spans="1:63" s="24" customFormat="1" ht="182.1" customHeight="1" thickBot="1" x14ac:dyDescent="0.3">
      <c r="A56" s="1">
        <v>55</v>
      </c>
      <c r="B56" s="2" t="s">
        <v>321</v>
      </c>
      <c r="C56" s="3" t="s">
        <v>331</v>
      </c>
      <c r="D56" s="3" t="s">
        <v>339</v>
      </c>
      <c r="E56" s="3" t="s">
        <v>1230</v>
      </c>
      <c r="F56" s="12" t="s">
        <v>51</v>
      </c>
      <c r="G56" s="4" t="s">
        <v>334</v>
      </c>
      <c r="H56" s="4" t="s">
        <v>1387</v>
      </c>
      <c r="I56" s="2" t="s">
        <v>332</v>
      </c>
      <c r="J56" s="12" t="s">
        <v>995</v>
      </c>
      <c r="K56" s="3" t="s">
        <v>333</v>
      </c>
      <c r="L56" s="3" t="s">
        <v>10</v>
      </c>
      <c r="M56" s="14">
        <v>98</v>
      </c>
      <c r="N56" s="6">
        <v>2</v>
      </c>
      <c r="O56" s="15">
        <v>2.0407999999999999E-2</v>
      </c>
      <c r="P56" s="17" t="s">
        <v>189</v>
      </c>
      <c r="Q56" s="16" t="s">
        <v>335</v>
      </c>
      <c r="R56" s="16">
        <v>0</v>
      </c>
      <c r="S56" s="12">
        <v>300</v>
      </c>
      <c r="T56" s="12">
        <v>0</v>
      </c>
      <c r="U56" s="12">
        <v>300</v>
      </c>
      <c r="V56" s="12">
        <v>0</v>
      </c>
      <c r="W56" s="12">
        <v>300</v>
      </c>
      <c r="X56" s="6">
        <f>SUM(T56,V56)</f>
        <v>0</v>
      </c>
      <c r="Y56" s="6">
        <f t="shared" si="8"/>
        <v>600</v>
      </c>
      <c r="Z56" s="12">
        <f t="shared" si="13"/>
        <v>900</v>
      </c>
      <c r="AA56" s="811">
        <v>0.98</v>
      </c>
      <c r="AB56" s="811">
        <v>0.91299999999999992</v>
      </c>
      <c r="AC56" s="836">
        <f t="shared" si="2"/>
        <v>0</v>
      </c>
      <c r="AD56" s="836">
        <f t="shared" si="15"/>
        <v>0</v>
      </c>
      <c r="AE56" s="811">
        <v>0.98</v>
      </c>
      <c r="AF56" s="811">
        <v>0.78600000000000003</v>
      </c>
      <c r="AG56" s="836">
        <f t="shared" si="3"/>
        <v>0</v>
      </c>
      <c r="AH56" s="836">
        <f t="shared" si="4"/>
        <v>0</v>
      </c>
      <c r="AI56" s="794">
        <f t="shared" si="5"/>
        <v>0</v>
      </c>
      <c r="AJ56" s="794">
        <f t="shared" si="6"/>
        <v>0</v>
      </c>
      <c r="AK56" s="22">
        <v>462000</v>
      </c>
      <c r="AL56" s="23">
        <v>124177</v>
      </c>
      <c r="AM56" s="9">
        <f t="shared" si="14"/>
        <v>586177</v>
      </c>
      <c r="AN56" s="49">
        <v>26192</v>
      </c>
      <c r="AO56" s="158">
        <v>26192</v>
      </c>
      <c r="AP56" s="594">
        <v>0</v>
      </c>
      <c r="AQ56" s="594" t="s">
        <v>1336</v>
      </c>
      <c r="AR56" s="620">
        <v>108000</v>
      </c>
      <c r="AS56" s="620">
        <v>162000</v>
      </c>
      <c r="AT56" s="620">
        <v>192000</v>
      </c>
      <c r="AU56" s="719" t="s">
        <v>1336</v>
      </c>
      <c r="AV56" s="620">
        <v>26192.1</v>
      </c>
      <c r="AW56" s="778">
        <v>15092.5</v>
      </c>
      <c r="AX56" s="778">
        <v>0</v>
      </c>
      <c r="AY56" s="778">
        <v>0</v>
      </c>
      <c r="AZ56" s="622">
        <v>67799.759999999995</v>
      </c>
      <c r="BA56" s="669"/>
      <c r="BB56" s="669"/>
      <c r="BC56" s="669"/>
      <c r="BD56" s="669"/>
      <c r="BE56" s="669"/>
      <c r="BF56" s="182"/>
      <c r="BG56" s="182">
        <v>0</v>
      </c>
      <c r="BH56" s="182">
        <v>26192</v>
      </c>
      <c r="BI56" s="179">
        <v>26192</v>
      </c>
      <c r="BJ56" s="181">
        <f t="shared" si="7"/>
        <v>26192</v>
      </c>
      <c r="BK56" s="11"/>
    </row>
    <row r="57" spans="1:63" s="24" customFormat="1" ht="225.75" thickBot="1" x14ac:dyDescent="0.3">
      <c r="A57" s="1">
        <v>56</v>
      </c>
      <c r="B57" s="12" t="s">
        <v>321</v>
      </c>
      <c r="C57" s="3" t="s">
        <v>336</v>
      </c>
      <c r="D57" s="3" t="s">
        <v>339</v>
      </c>
      <c r="E57" s="3" t="s">
        <v>1229</v>
      </c>
      <c r="F57" s="12" t="s">
        <v>17</v>
      </c>
      <c r="G57" s="4" t="s">
        <v>338</v>
      </c>
      <c r="H57" s="4" t="s">
        <v>1388</v>
      </c>
      <c r="I57" s="2" t="s">
        <v>337</v>
      </c>
      <c r="J57" s="12" t="s">
        <v>995</v>
      </c>
      <c r="K57" s="44" t="s">
        <v>58</v>
      </c>
      <c r="L57" s="3" t="s">
        <v>10</v>
      </c>
      <c r="M57" s="623" t="s">
        <v>34</v>
      </c>
      <c r="N57" s="12" t="s">
        <v>34</v>
      </c>
      <c r="O57" s="12" t="s">
        <v>34</v>
      </c>
      <c r="P57" s="17" t="s">
        <v>189</v>
      </c>
      <c r="Q57" s="16" t="s">
        <v>190</v>
      </c>
      <c r="R57" s="16">
        <v>0</v>
      </c>
      <c r="S57" s="12">
        <v>30</v>
      </c>
      <c r="T57" s="12">
        <v>0</v>
      </c>
      <c r="U57" s="12">
        <v>30</v>
      </c>
      <c r="V57" s="12">
        <v>0</v>
      </c>
      <c r="W57" s="12">
        <v>30</v>
      </c>
      <c r="X57" s="6">
        <f t="shared" si="9"/>
        <v>0</v>
      </c>
      <c r="Y57" s="6">
        <f t="shared" si="8"/>
        <v>60</v>
      </c>
      <c r="Z57" s="12">
        <f t="shared" si="13"/>
        <v>90</v>
      </c>
      <c r="AA57" s="811">
        <v>0</v>
      </c>
      <c r="AB57" s="811" t="s">
        <v>1553</v>
      </c>
      <c r="AC57" s="836">
        <f t="shared" si="2"/>
        <v>0</v>
      </c>
      <c r="AD57" s="836">
        <v>0</v>
      </c>
      <c r="AE57" s="811">
        <v>0.98</v>
      </c>
      <c r="AF57" s="811">
        <v>0.96130000000000004</v>
      </c>
      <c r="AG57" s="836">
        <f t="shared" si="3"/>
        <v>0</v>
      </c>
      <c r="AH57" s="836">
        <f t="shared" si="4"/>
        <v>0</v>
      </c>
      <c r="AI57" s="794">
        <f t="shared" si="5"/>
        <v>0</v>
      </c>
      <c r="AJ57" s="794">
        <f t="shared" si="6"/>
        <v>0</v>
      </c>
      <c r="AK57" s="22">
        <v>918000</v>
      </c>
      <c r="AL57" s="23">
        <v>124177</v>
      </c>
      <c r="AM57" s="9">
        <f t="shared" si="14"/>
        <v>1042177</v>
      </c>
      <c r="AN57" s="49">
        <v>13096</v>
      </c>
      <c r="AO57" s="158">
        <v>26192</v>
      </c>
      <c r="AP57" s="594">
        <v>13096</v>
      </c>
      <c r="AQ57" s="594" t="s">
        <v>1336</v>
      </c>
      <c r="AR57" s="620">
        <v>162000</v>
      </c>
      <c r="AS57" s="620">
        <v>324000</v>
      </c>
      <c r="AT57" s="620">
        <v>432000</v>
      </c>
      <c r="AU57" s="719" t="s">
        <v>1336</v>
      </c>
      <c r="AV57" s="620">
        <v>26192.1</v>
      </c>
      <c r="AW57" s="782">
        <v>30184.799999999999</v>
      </c>
      <c r="AX57" s="778">
        <v>30096</v>
      </c>
      <c r="AY57" s="778">
        <v>0</v>
      </c>
      <c r="AZ57" s="622">
        <v>67799.759999999995</v>
      </c>
      <c r="BA57" s="669"/>
      <c r="BB57" s="669"/>
      <c r="BC57" s="669"/>
      <c r="BD57" s="669"/>
      <c r="BE57" s="669"/>
      <c r="BF57" s="182"/>
      <c r="BG57" s="182">
        <v>0</v>
      </c>
      <c r="BH57" s="244">
        <v>13096</v>
      </c>
      <c r="BI57" s="244">
        <v>26192</v>
      </c>
      <c r="BJ57" s="245">
        <f t="shared" si="7"/>
        <v>13096</v>
      </c>
      <c r="BK57" s="11"/>
    </row>
    <row r="58" spans="1:63" ht="124.5" customHeight="1" thickBot="1" x14ac:dyDescent="0.25">
      <c r="A58" s="236">
        <v>57</v>
      </c>
      <c r="B58" s="157" t="s">
        <v>14</v>
      </c>
      <c r="C58" s="157" t="s">
        <v>341</v>
      </c>
      <c r="D58" s="157" t="s">
        <v>1020</v>
      </c>
      <c r="E58" s="157" t="s">
        <v>1244</v>
      </c>
      <c r="F58" s="157" t="s">
        <v>1022</v>
      </c>
      <c r="G58" s="607" t="s">
        <v>365</v>
      </c>
      <c r="H58" s="650" t="s">
        <v>1394</v>
      </c>
      <c r="I58" s="600" t="s">
        <v>342</v>
      </c>
      <c r="J58" s="157" t="s">
        <v>992</v>
      </c>
      <c r="K58" s="157" t="s">
        <v>344</v>
      </c>
      <c r="L58" s="18" t="s">
        <v>209</v>
      </c>
      <c r="M58" s="45" t="s">
        <v>372</v>
      </c>
      <c r="N58" s="232" t="s">
        <v>373</v>
      </c>
      <c r="O58" s="611" t="s">
        <v>373</v>
      </c>
      <c r="P58" s="619" t="s">
        <v>111</v>
      </c>
      <c r="Q58" s="157" t="s">
        <v>374</v>
      </c>
      <c r="R58" s="157">
        <v>0</v>
      </c>
      <c r="S58" s="157">
        <v>61320</v>
      </c>
      <c r="T58" s="157">
        <v>0</v>
      </c>
      <c r="U58" s="157">
        <v>61320</v>
      </c>
      <c r="V58" s="157">
        <v>0</v>
      </c>
      <c r="W58" s="157">
        <v>61320</v>
      </c>
      <c r="X58" s="6">
        <f t="shared" si="9"/>
        <v>0</v>
      </c>
      <c r="Y58" s="6">
        <f t="shared" si="8"/>
        <v>122640</v>
      </c>
      <c r="Z58" s="12">
        <f t="shared" si="13"/>
        <v>183960</v>
      </c>
      <c r="AA58" s="816">
        <v>0</v>
      </c>
      <c r="AB58" s="816" t="s">
        <v>1553</v>
      </c>
      <c r="AC58" s="836">
        <f t="shared" si="2"/>
        <v>0</v>
      </c>
      <c r="AD58" s="836">
        <v>0</v>
      </c>
      <c r="AE58" s="816">
        <v>0.36</v>
      </c>
      <c r="AF58" s="816">
        <v>0.35</v>
      </c>
      <c r="AG58" s="836">
        <f t="shared" si="3"/>
        <v>0</v>
      </c>
      <c r="AH58" s="836">
        <f t="shared" si="4"/>
        <v>0</v>
      </c>
      <c r="AI58" s="794">
        <f t="shared" si="5"/>
        <v>0</v>
      </c>
      <c r="AJ58" s="794">
        <f t="shared" si="6"/>
        <v>0</v>
      </c>
      <c r="AK58" s="710">
        <v>13926841</v>
      </c>
      <c r="AL58" s="624">
        <v>3461963</v>
      </c>
      <c r="AM58" s="610">
        <f t="shared" si="14"/>
        <v>17388804</v>
      </c>
      <c r="AN58" s="224">
        <v>591069</v>
      </c>
      <c r="AO58" s="625">
        <v>473945</v>
      </c>
      <c r="AP58" s="765">
        <v>0</v>
      </c>
      <c r="AQ58" s="646">
        <v>3406011</v>
      </c>
      <c r="AR58" s="646">
        <v>3715776</v>
      </c>
      <c r="AS58" s="646">
        <v>3726577</v>
      </c>
      <c r="AT58" s="646">
        <v>3078477</v>
      </c>
      <c r="AU58" s="646">
        <v>408879</v>
      </c>
      <c r="AV58" s="646">
        <v>473944.76</v>
      </c>
      <c r="AW58" s="789">
        <v>760515</v>
      </c>
      <c r="AX58" s="720">
        <v>633765</v>
      </c>
      <c r="AY58" s="720">
        <v>126753</v>
      </c>
      <c r="AZ58" s="615">
        <v>1818625.27</v>
      </c>
      <c r="BA58" s="668"/>
      <c r="BB58" s="668"/>
      <c r="BC58" s="668"/>
      <c r="BD58" s="668"/>
      <c r="BE58" s="668"/>
      <c r="BF58" s="182"/>
      <c r="BG58" s="182">
        <v>0</v>
      </c>
      <c r="BH58" s="182">
        <f>315963+(78991*2)</f>
        <v>473945</v>
      </c>
      <c r="BI58" s="11">
        <f>315963+(78991*2)</f>
        <v>473945</v>
      </c>
      <c r="BJ58" s="181">
        <f t="shared" si="7"/>
        <v>473945</v>
      </c>
    </row>
    <row r="59" spans="1:63" ht="135.75" thickBot="1" x14ac:dyDescent="0.25">
      <c r="A59" s="41">
        <v>58</v>
      </c>
      <c r="B59" s="12" t="s">
        <v>55</v>
      </c>
      <c r="C59" s="12" t="s">
        <v>345</v>
      </c>
      <c r="D59" s="12" t="s">
        <v>1019</v>
      </c>
      <c r="E59" s="12" t="s">
        <v>1225</v>
      </c>
      <c r="F59" s="12" t="s">
        <v>575</v>
      </c>
      <c r="G59" s="4" t="s">
        <v>366</v>
      </c>
      <c r="H59" s="636" t="s">
        <v>1395</v>
      </c>
      <c r="I59" s="57" t="s">
        <v>346</v>
      </c>
      <c r="J59" s="12" t="s">
        <v>993</v>
      </c>
      <c r="K59" s="12" t="s">
        <v>347</v>
      </c>
      <c r="L59" s="4" t="s">
        <v>10</v>
      </c>
      <c r="M59" s="50" t="s">
        <v>34</v>
      </c>
      <c r="N59" s="50" t="s">
        <v>375</v>
      </c>
      <c r="O59" s="4" t="s">
        <v>34</v>
      </c>
      <c r="P59" s="12" t="s">
        <v>189</v>
      </c>
      <c r="Q59" s="12" t="s">
        <v>376</v>
      </c>
      <c r="R59" s="12">
        <v>0</v>
      </c>
      <c r="S59" s="12">
        <v>3960</v>
      </c>
      <c r="T59" s="12">
        <v>0</v>
      </c>
      <c r="U59" s="12">
        <v>3960</v>
      </c>
      <c r="V59" s="12">
        <v>0</v>
      </c>
      <c r="W59" s="12">
        <v>3960</v>
      </c>
      <c r="X59" s="6">
        <f>SUM(T59,V59)</f>
        <v>0</v>
      </c>
      <c r="Y59" s="6">
        <f t="shared" si="8"/>
        <v>7920</v>
      </c>
      <c r="Z59" s="12">
        <f t="shared" si="13"/>
        <v>11880</v>
      </c>
      <c r="AA59" s="817">
        <v>0.5</v>
      </c>
      <c r="AB59" s="817">
        <v>0</v>
      </c>
      <c r="AC59" s="836">
        <f t="shared" si="2"/>
        <v>0</v>
      </c>
      <c r="AD59" s="836">
        <f>AB59*T59</f>
        <v>0</v>
      </c>
      <c r="AE59" s="817">
        <v>0.5</v>
      </c>
      <c r="AF59" s="817">
        <v>0.23500000000000001</v>
      </c>
      <c r="AG59" s="836">
        <f t="shared" si="3"/>
        <v>0</v>
      </c>
      <c r="AH59" s="836">
        <f t="shared" si="4"/>
        <v>0</v>
      </c>
      <c r="AI59" s="794">
        <f t="shared" si="5"/>
        <v>0</v>
      </c>
      <c r="AJ59" s="794">
        <f t="shared" si="6"/>
        <v>0</v>
      </c>
      <c r="AK59" s="47">
        <v>10411456.625915317</v>
      </c>
      <c r="AL59" s="48">
        <v>1318952</v>
      </c>
      <c r="AM59" s="49">
        <f t="shared" si="14"/>
        <v>11730408.625915317</v>
      </c>
      <c r="AN59" s="49">
        <v>137733</v>
      </c>
      <c r="AO59" s="77">
        <v>275466</v>
      </c>
      <c r="AP59" s="171">
        <v>137733</v>
      </c>
      <c r="AQ59" s="638">
        <v>2351070.8625400001</v>
      </c>
      <c r="AR59" s="638">
        <v>2605726.77</v>
      </c>
      <c r="AS59" s="638">
        <v>2773912.95</v>
      </c>
      <c r="AT59" s="638">
        <v>2680746.04</v>
      </c>
      <c r="AU59" s="638">
        <v>123740.57</v>
      </c>
      <c r="AV59" s="638">
        <v>275466.05</v>
      </c>
      <c r="AW59" s="786">
        <v>291826.14</v>
      </c>
      <c r="AX59" s="720">
        <v>291826</v>
      </c>
      <c r="AY59" s="720">
        <v>0</v>
      </c>
      <c r="AZ59" s="615">
        <v>627918.65</v>
      </c>
      <c r="BA59" s="668"/>
      <c r="BB59" s="668"/>
      <c r="BC59" s="668"/>
      <c r="BD59" s="668"/>
      <c r="BE59" s="668"/>
      <c r="BF59" s="184"/>
      <c r="BG59" s="184">
        <v>0</v>
      </c>
      <c r="BH59" s="184">
        <v>137733</v>
      </c>
      <c r="BI59" s="245">
        <v>275466</v>
      </c>
      <c r="BJ59" s="245">
        <f t="shared" si="7"/>
        <v>137733</v>
      </c>
    </row>
    <row r="60" spans="1:63" ht="152.1" customHeight="1" thickBot="1" x14ac:dyDescent="0.25">
      <c r="A60" s="41">
        <v>59</v>
      </c>
      <c r="B60" s="12" t="s">
        <v>79</v>
      </c>
      <c r="C60" s="12" t="s">
        <v>348</v>
      </c>
      <c r="D60" s="12" t="s">
        <v>1020</v>
      </c>
      <c r="E60" s="12" t="s">
        <v>1244</v>
      </c>
      <c r="F60" s="12" t="s">
        <v>1022</v>
      </c>
      <c r="G60" s="4" t="s">
        <v>367</v>
      </c>
      <c r="H60" s="636" t="s">
        <v>1396</v>
      </c>
      <c r="I60" s="16" t="s">
        <v>349</v>
      </c>
      <c r="J60" s="12" t="s">
        <v>1011</v>
      </c>
      <c r="K60" s="12" t="s">
        <v>350</v>
      </c>
      <c r="L60" s="4" t="s">
        <v>63</v>
      </c>
      <c r="M60" s="45" t="s">
        <v>377</v>
      </c>
      <c r="N60" s="46" t="s">
        <v>378</v>
      </c>
      <c r="O60" s="15" t="s">
        <v>379</v>
      </c>
      <c r="P60" s="12" t="s">
        <v>111</v>
      </c>
      <c r="Q60" s="12" t="s">
        <v>380</v>
      </c>
      <c r="R60" s="12">
        <v>20390</v>
      </c>
      <c r="S60" s="52">
        <v>70000</v>
      </c>
      <c r="T60" s="52">
        <v>20390</v>
      </c>
      <c r="U60" s="12">
        <v>70000</v>
      </c>
      <c r="V60" s="12">
        <v>20390</v>
      </c>
      <c r="W60" s="12">
        <v>70000</v>
      </c>
      <c r="X60" s="6">
        <f t="shared" si="9"/>
        <v>40780</v>
      </c>
      <c r="Y60" s="6">
        <f t="shared" si="8"/>
        <v>140000</v>
      </c>
      <c r="Z60" s="12">
        <f t="shared" si="13"/>
        <v>210000</v>
      </c>
      <c r="AA60" s="817">
        <v>0.23</v>
      </c>
      <c r="AB60" s="817">
        <v>0.55049999999999999</v>
      </c>
      <c r="AC60" s="836">
        <f t="shared" si="2"/>
        <v>4689.7</v>
      </c>
      <c r="AD60" s="836">
        <f>AB60*T60</f>
        <v>11224.695</v>
      </c>
      <c r="AE60" s="817">
        <v>0.23</v>
      </c>
      <c r="AF60" s="817">
        <v>0.33</v>
      </c>
      <c r="AG60" s="836">
        <f t="shared" si="3"/>
        <v>4689.7</v>
      </c>
      <c r="AH60" s="836">
        <f t="shared" si="4"/>
        <v>6728.7000000000007</v>
      </c>
      <c r="AI60" s="794">
        <f t="shared" si="5"/>
        <v>9379.4</v>
      </c>
      <c r="AJ60" s="794">
        <f t="shared" si="6"/>
        <v>17953.395</v>
      </c>
      <c r="AK60" s="47">
        <v>17944670.600000001</v>
      </c>
      <c r="AL60" s="48">
        <v>1997887</v>
      </c>
      <c r="AM60" s="49">
        <f t="shared" si="14"/>
        <v>19942557.600000001</v>
      </c>
      <c r="AN60" s="158">
        <v>422528</v>
      </c>
      <c r="AO60" s="120">
        <v>422528</v>
      </c>
      <c r="AP60" s="595">
        <v>0</v>
      </c>
      <c r="AQ60" s="638">
        <v>4070843</v>
      </c>
      <c r="AR60" s="638">
        <v>4441366.5</v>
      </c>
      <c r="AS60" s="638">
        <v>4774824</v>
      </c>
      <c r="AT60" s="638">
        <v>4657637.0999999996</v>
      </c>
      <c r="AU60" s="638">
        <v>214255</v>
      </c>
      <c r="AV60" s="638">
        <v>422527.8</v>
      </c>
      <c r="AW60" s="786">
        <v>327594</v>
      </c>
      <c r="AX60" s="720">
        <v>218396</v>
      </c>
      <c r="AY60" s="720">
        <v>109198</v>
      </c>
      <c r="AZ60" s="615">
        <v>924311.84999999986</v>
      </c>
      <c r="BA60" s="668"/>
      <c r="BB60" s="668"/>
      <c r="BC60" s="668"/>
      <c r="BD60" s="668"/>
      <c r="BE60" s="668"/>
      <c r="BF60" s="182"/>
      <c r="BG60" s="182">
        <v>0</v>
      </c>
      <c r="BH60" s="182">
        <f>211264*2</f>
        <v>422528</v>
      </c>
      <c r="BI60" s="11">
        <f>211264*2</f>
        <v>422528</v>
      </c>
      <c r="BJ60" s="181">
        <f t="shared" si="7"/>
        <v>422528</v>
      </c>
    </row>
    <row r="61" spans="1:63" ht="255.75" thickBot="1" x14ac:dyDescent="0.25">
      <c r="A61" s="41">
        <v>60</v>
      </c>
      <c r="B61" s="12" t="s">
        <v>351</v>
      </c>
      <c r="C61" s="12" t="s">
        <v>352</v>
      </c>
      <c r="D61" s="12" t="s">
        <v>397</v>
      </c>
      <c r="E61" s="12" t="s">
        <v>1241</v>
      </c>
      <c r="F61" s="12" t="s">
        <v>354</v>
      </c>
      <c r="G61" s="4" t="s">
        <v>368</v>
      </c>
      <c r="H61" s="607" t="s">
        <v>1397</v>
      </c>
      <c r="I61" s="16" t="s">
        <v>353</v>
      </c>
      <c r="J61" s="12" t="s">
        <v>992</v>
      </c>
      <c r="K61" s="12" t="s">
        <v>355</v>
      </c>
      <c r="L61" s="4" t="s">
        <v>10</v>
      </c>
      <c r="M61" s="241" t="s">
        <v>34</v>
      </c>
      <c r="N61" s="241" t="s">
        <v>375</v>
      </c>
      <c r="O61" s="703" t="s">
        <v>34</v>
      </c>
      <c r="P61" s="12" t="s">
        <v>189</v>
      </c>
      <c r="Q61" s="12"/>
      <c r="R61" s="12">
        <v>0</v>
      </c>
      <c r="S61" s="52">
        <v>500</v>
      </c>
      <c r="T61" s="52">
        <v>0</v>
      </c>
      <c r="U61" s="12">
        <v>500</v>
      </c>
      <c r="V61" s="12">
        <v>0</v>
      </c>
      <c r="W61" s="12">
        <v>500</v>
      </c>
      <c r="X61" s="6">
        <f t="shared" si="9"/>
        <v>0</v>
      </c>
      <c r="Y61" s="6">
        <f t="shared" si="8"/>
        <v>1000</v>
      </c>
      <c r="Z61" s="12">
        <f t="shared" si="13"/>
        <v>1500</v>
      </c>
      <c r="AA61" s="817">
        <v>0</v>
      </c>
      <c r="AB61" s="817" t="s">
        <v>1553</v>
      </c>
      <c r="AC61" s="836">
        <f t="shared" si="2"/>
        <v>0</v>
      </c>
      <c r="AD61" s="836">
        <v>0</v>
      </c>
      <c r="AE61" s="817">
        <v>0.3</v>
      </c>
      <c r="AF61" s="817">
        <v>0.55640000000000001</v>
      </c>
      <c r="AG61" s="836">
        <f t="shared" si="3"/>
        <v>0</v>
      </c>
      <c r="AH61" s="836">
        <f t="shared" si="4"/>
        <v>0</v>
      </c>
      <c r="AI61" s="794">
        <f t="shared" si="5"/>
        <v>0</v>
      </c>
      <c r="AJ61" s="794">
        <f t="shared" si="6"/>
        <v>0</v>
      </c>
      <c r="AK61" s="47">
        <v>2826667</v>
      </c>
      <c r="AL61" s="48">
        <v>448743</v>
      </c>
      <c r="AM61" s="49">
        <f t="shared" si="14"/>
        <v>3275410</v>
      </c>
      <c r="AN61" s="49">
        <v>40419</v>
      </c>
      <c r="AO61" s="77">
        <v>80838</v>
      </c>
      <c r="AP61" s="596">
        <v>40419</v>
      </c>
      <c r="AQ61" s="651" t="s">
        <v>1336</v>
      </c>
      <c r="AR61" s="645">
        <v>1066667</v>
      </c>
      <c r="AS61" s="645">
        <v>1000000</v>
      </c>
      <c r="AT61" s="645">
        <v>760000</v>
      </c>
      <c r="AU61" s="651" t="s">
        <v>1336</v>
      </c>
      <c r="AV61" s="645">
        <v>80838.690000004499</v>
      </c>
      <c r="AW61" s="784">
        <v>117477.05231249878</v>
      </c>
      <c r="AX61" s="785">
        <v>117478</v>
      </c>
      <c r="AY61" s="785">
        <v>0</v>
      </c>
      <c r="AZ61" s="622">
        <v>250427.2204724981</v>
      </c>
      <c r="BA61" s="669"/>
      <c r="BB61" s="669"/>
      <c r="BC61" s="669"/>
      <c r="BD61" s="669"/>
      <c r="BE61" s="669"/>
      <c r="BF61" s="184"/>
      <c r="BG61" s="184">
        <v>42419</v>
      </c>
      <c r="BH61" s="184">
        <v>40419</v>
      </c>
      <c r="BI61" s="181">
        <v>80838</v>
      </c>
      <c r="BJ61" s="181">
        <f t="shared" si="7"/>
        <v>82838</v>
      </c>
    </row>
    <row r="62" spans="1:63" ht="347.45" customHeight="1" thickBot="1" x14ac:dyDescent="0.25">
      <c r="A62" s="42">
        <v>61</v>
      </c>
      <c r="B62" s="3" t="s">
        <v>266</v>
      </c>
      <c r="C62" s="3" t="s">
        <v>356</v>
      </c>
      <c r="D62" s="3" t="s">
        <v>343</v>
      </c>
      <c r="E62" s="3" t="s">
        <v>1242</v>
      </c>
      <c r="F62" s="3" t="s">
        <v>358</v>
      </c>
      <c r="G62" s="4" t="s">
        <v>369</v>
      </c>
      <c r="H62" s="636" t="s">
        <v>1398</v>
      </c>
      <c r="I62" s="2" t="s">
        <v>357</v>
      </c>
      <c r="J62" s="12" t="s">
        <v>992</v>
      </c>
      <c r="K62" s="3" t="s">
        <v>359</v>
      </c>
      <c r="L62" s="4" t="s">
        <v>209</v>
      </c>
      <c r="M62" s="45" t="s">
        <v>381</v>
      </c>
      <c r="N62" s="46" t="s">
        <v>382</v>
      </c>
      <c r="O62" s="51" t="s">
        <v>1070</v>
      </c>
      <c r="P62" s="3" t="s">
        <v>189</v>
      </c>
      <c r="Q62" s="3" t="s">
        <v>383</v>
      </c>
      <c r="R62" s="3">
        <v>0</v>
      </c>
      <c r="S62" s="3">
        <v>0</v>
      </c>
      <c r="T62" s="3">
        <v>0</v>
      </c>
      <c r="U62" s="3">
        <v>2000</v>
      </c>
      <c r="V62" s="3">
        <v>9431</v>
      </c>
      <c r="W62" s="3">
        <v>3000</v>
      </c>
      <c r="X62" s="6">
        <f>SUM(T62,V62)</f>
        <v>9431</v>
      </c>
      <c r="Y62" s="6">
        <f t="shared" si="8"/>
        <v>2000</v>
      </c>
      <c r="Z62" s="12">
        <f>SUM(S62,U62,W62)</f>
        <v>5000</v>
      </c>
      <c r="AA62" s="817">
        <v>0</v>
      </c>
      <c r="AB62" s="817" t="s">
        <v>1553</v>
      </c>
      <c r="AC62" s="836">
        <f t="shared" si="2"/>
        <v>0</v>
      </c>
      <c r="AD62" s="836">
        <v>0</v>
      </c>
      <c r="AE62" s="817">
        <v>0.72</v>
      </c>
      <c r="AF62" s="817">
        <v>0.46989999999999998</v>
      </c>
      <c r="AG62" s="836">
        <f t="shared" si="3"/>
        <v>6790.32</v>
      </c>
      <c r="AH62" s="836">
        <f t="shared" si="4"/>
        <v>4431.6269000000002</v>
      </c>
      <c r="AI62" s="794">
        <f t="shared" si="5"/>
        <v>6790.32</v>
      </c>
      <c r="AJ62" s="794">
        <f t="shared" si="6"/>
        <v>4431.6269000000002</v>
      </c>
      <c r="AK62" s="53">
        <v>10042122</v>
      </c>
      <c r="AL62" s="751">
        <v>3042266</v>
      </c>
      <c r="AM62" s="49">
        <f t="shared" si="14"/>
        <v>13084388</v>
      </c>
      <c r="AN62" s="158">
        <v>427110</v>
      </c>
      <c r="AO62" s="120">
        <v>427110</v>
      </c>
      <c r="AP62" s="594">
        <v>0</v>
      </c>
      <c r="AQ62" s="638">
        <v>2455947</v>
      </c>
      <c r="AR62" s="638">
        <v>2679306</v>
      </c>
      <c r="AS62" s="638">
        <v>2687095</v>
      </c>
      <c r="AT62" s="638">
        <v>2219774</v>
      </c>
      <c r="AU62" s="638">
        <v>288935</v>
      </c>
      <c r="AV62" s="638">
        <v>427109.30653599999</v>
      </c>
      <c r="AW62" s="786">
        <v>572405</v>
      </c>
      <c r="AX62" s="720">
        <v>457924</v>
      </c>
      <c r="AY62" s="720">
        <v>114481</v>
      </c>
      <c r="AZ62" s="615">
        <v>1639334.6685319999</v>
      </c>
      <c r="BA62" s="668"/>
      <c r="BB62" s="668"/>
      <c r="BC62" s="668"/>
      <c r="BD62" s="668"/>
      <c r="BE62" s="668"/>
      <c r="BF62" s="182"/>
      <c r="BG62" s="182">
        <v>0</v>
      </c>
      <c r="BH62" s="182">
        <f>142370*3</f>
        <v>427110</v>
      </c>
      <c r="BI62" s="191">
        <f>142370*3</f>
        <v>427110</v>
      </c>
      <c r="BJ62" s="181">
        <f t="shared" si="7"/>
        <v>427110</v>
      </c>
    </row>
    <row r="63" spans="1:63" ht="215.1" customHeight="1" thickBot="1" x14ac:dyDescent="0.25">
      <c r="A63" s="42">
        <v>62</v>
      </c>
      <c r="B63" s="3" t="s">
        <v>288</v>
      </c>
      <c r="C63" s="3" t="s">
        <v>360</v>
      </c>
      <c r="D63" s="3" t="s">
        <v>343</v>
      </c>
      <c r="E63" s="3" t="s">
        <v>1243</v>
      </c>
      <c r="F63" s="3" t="s">
        <v>358</v>
      </c>
      <c r="G63" s="4" t="s">
        <v>370</v>
      </c>
      <c r="H63" s="636" t="s">
        <v>1399</v>
      </c>
      <c r="I63" s="2" t="s">
        <v>361</v>
      </c>
      <c r="J63" s="12" t="s">
        <v>996</v>
      </c>
      <c r="K63" s="3" t="s">
        <v>1186</v>
      </c>
      <c r="L63" s="4" t="s">
        <v>209</v>
      </c>
      <c r="M63" s="45" t="s">
        <v>384</v>
      </c>
      <c r="N63" s="46" t="s">
        <v>385</v>
      </c>
      <c r="O63" s="14" t="s">
        <v>1071</v>
      </c>
      <c r="P63" s="5" t="s">
        <v>189</v>
      </c>
      <c r="Q63" s="3" t="s">
        <v>386</v>
      </c>
      <c r="R63" s="3">
        <v>0</v>
      </c>
      <c r="S63" s="3">
        <v>600</v>
      </c>
      <c r="T63" s="3">
        <v>0</v>
      </c>
      <c r="U63" s="3">
        <v>600</v>
      </c>
      <c r="V63" s="3">
        <v>0</v>
      </c>
      <c r="W63" s="3">
        <v>600</v>
      </c>
      <c r="X63" s="6">
        <f t="shared" si="9"/>
        <v>0</v>
      </c>
      <c r="Y63" s="6">
        <f t="shared" si="8"/>
        <v>1200</v>
      </c>
      <c r="Z63" s="12">
        <f t="shared" si="13"/>
        <v>1800</v>
      </c>
      <c r="AA63" s="817">
        <v>0</v>
      </c>
      <c r="AB63" s="817" t="s">
        <v>1553</v>
      </c>
      <c r="AC63" s="836">
        <f t="shared" si="2"/>
        <v>0</v>
      </c>
      <c r="AD63" s="836">
        <v>0</v>
      </c>
      <c r="AE63" s="817">
        <v>0.33450000000000002</v>
      </c>
      <c r="AF63" s="817">
        <v>0.33099999999999996</v>
      </c>
      <c r="AG63" s="836">
        <f t="shared" si="3"/>
        <v>0</v>
      </c>
      <c r="AH63" s="836">
        <f t="shared" si="4"/>
        <v>0</v>
      </c>
      <c r="AI63" s="794">
        <f t="shared" si="5"/>
        <v>0</v>
      </c>
      <c r="AJ63" s="794">
        <f t="shared" si="6"/>
        <v>0</v>
      </c>
      <c r="AK63" s="54">
        <v>1334452</v>
      </c>
      <c r="AL63" s="751">
        <v>159627</v>
      </c>
      <c r="AM63" s="49">
        <f t="shared" si="14"/>
        <v>1494079</v>
      </c>
      <c r="AN63" s="158">
        <v>19758</v>
      </c>
      <c r="AO63" s="120">
        <v>19758</v>
      </c>
      <c r="AP63" s="594">
        <v>0</v>
      </c>
      <c r="AQ63" s="638">
        <v>297212</v>
      </c>
      <c r="AR63" s="638">
        <v>356153</v>
      </c>
      <c r="AS63" s="638">
        <v>367573</v>
      </c>
      <c r="AT63" s="638">
        <v>313514</v>
      </c>
      <c r="AU63" s="638">
        <v>33024</v>
      </c>
      <c r="AV63" s="638">
        <v>19760.64</v>
      </c>
      <c r="AW63" s="786">
        <v>31947</v>
      </c>
      <c r="AX63" s="720">
        <v>31944</v>
      </c>
      <c r="AY63" s="720">
        <v>0</v>
      </c>
      <c r="AZ63" s="615">
        <v>74895.209999999992</v>
      </c>
      <c r="BA63" s="668"/>
      <c r="BB63" s="668"/>
      <c r="BC63" s="668"/>
      <c r="BD63" s="668"/>
      <c r="BE63" s="668"/>
      <c r="BF63" s="182"/>
      <c r="BG63" s="182">
        <v>0</v>
      </c>
      <c r="BH63" s="182">
        <f>6586*3</f>
        <v>19758</v>
      </c>
      <c r="BI63" s="191">
        <f>6586*3</f>
        <v>19758</v>
      </c>
      <c r="BJ63" s="181">
        <f t="shared" si="7"/>
        <v>19758</v>
      </c>
    </row>
    <row r="64" spans="1:63" ht="120.75" thickBot="1" x14ac:dyDescent="0.25">
      <c r="A64" s="722">
        <v>63</v>
      </c>
      <c r="B64" s="218" t="s">
        <v>362</v>
      </c>
      <c r="C64" s="218" t="s">
        <v>363</v>
      </c>
      <c r="D64" s="218" t="s">
        <v>343</v>
      </c>
      <c r="E64" s="218" t="s">
        <v>1244</v>
      </c>
      <c r="F64" s="218" t="s">
        <v>1024</v>
      </c>
      <c r="G64" s="213" t="s">
        <v>371</v>
      </c>
      <c r="H64" s="636" t="s">
        <v>1400</v>
      </c>
      <c r="I64" s="17" t="s">
        <v>364</v>
      </c>
      <c r="J64" s="212" t="s">
        <v>992</v>
      </c>
      <c r="K64" s="17" t="s">
        <v>1182</v>
      </c>
      <c r="L64" s="213" t="s">
        <v>10</v>
      </c>
      <c r="M64" s="227" t="s">
        <v>387</v>
      </c>
      <c r="N64" s="228">
        <v>80</v>
      </c>
      <c r="O64" s="217" t="s">
        <v>1072</v>
      </c>
      <c r="P64" s="218" t="s">
        <v>111</v>
      </c>
      <c r="Q64" s="218" t="s">
        <v>388</v>
      </c>
      <c r="R64" s="218">
        <v>0</v>
      </c>
      <c r="S64" s="218">
        <v>1400</v>
      </c>
      <c r="T64" s="218">
        <v>0</v>
      </c>
      <c r="U64" s="218">
        <v>1400</v>
      </c>
      <c r="V64" s="218">
        <v>0</v>
      </c>
      <c r="W64" s="218">
        <v>1400</v>
      </c>
      <c r="X64" s="6">
        <f t="shared" si="9"/>
        <v>0</v>
      </c>
      <c r="Y64" s="6">
        <f t="shared" si="8"/>
        <v>2800</v>
      </c>
      <c r="Z64" s="12">
        <f t="shared" si="13"/>
        <v>4200</v>
      </c>
      <c r="AA64" s="818">
        <v>0</v>
      </c>
      <c r="AB64" s="818" t="s">
        <v>1553</v>
      </c>
      <c r="AC64" s="836">
        <f t="shared" si="2"/>
        <v>0</v>
      </c>
      <c r="AD64" s="836">
        <v>0</v>
      </c>
      <c r="AE64" s="818">
        <v>0.71</v>
      </c>
      <c r="AF64" s="818">
        <v>0.5</v>
      </c>
      <c r="AG64" s="836">
        <f t="shared" si="3"/>
        <v>0</v>
      </c>
      <c r="AH64" s="836">
        <f t="shared" si="4"/>
        <v>0</v>
      </c>
      <c r="AI64" s="794">
        <f t="shared" si="5"/>
        <v>0</v>
      </c>
      <c r="AJ64" s="794">
        <f t="shared" si="6"/>
        <v>0</v>
      </c>
      <c r="AK64" s="746">
        <v>2132194</v>
      </c>
      <c r="AL64" s="752">
        <v>316250</v>
      </c>
      <c r="AM64" s="714">
        <f t="shared" si="14"/>
        <v>2448444</v>
      </c>
      <c r="AN64" s="223">
        <v>43616</v>
      </c>
      <c r="AO64" s="230">
        <v>43616</v>
      </c>
      <c r="AP64" s="598">
        <v>0</v>
      </c>
      <c r="AQ64" s="638">
        <v>610224</v>
      </c>
      <c r="AR64" s="638">
        <v>574328</v>
      </c>
      <c r="AS64" s="638">
        <v>538433</v>
      </c>
      <c r="AT64" s="638">
        <v>409209</v>
      </c>
      <c r="AU64" s="638">
        <v>61667</v>
      </c>
      <c r="AV64" s="638">
        <v>43616.44</v>
      </c>
      <c r="AW64" s="786">
        <v>65686.78</v>
      </c>
      <c r="AX64" s="790">
        <v>52002</v>
      </c>
      <c r="AY64" s="790">
        <v>13685</v>
      </c>
      <c r="AZ64" s="615">
        <v>145279.78</v>
      </c>
      <c r="BA64" s="668"/>
      <c r="BB64" s="668"/>
      <c r="BC64" s="668"/>
      <c r="BD64" s="668"/>
      <c r="BE64" s="668"/>
      <c r="BF64" s="184"/>
      <c r="BG64" s="184">
        <v>0</v>
      </c>
      <c r="BH64" s="184">
        <v>43616</v>
      </c>
      <c r="BI64" s="191">
        <f>43616</f>
        <v>43616</v>
      </c>
      <c r="BJ64" s="181">
        <f t="shared" si="7"/>
        <v>43616</v>
      </c>
    </row>
    <row r="65" spans="1:63" ht="154.5" customHeight="1" thickBot="1" x14ac:dyDescent="0.25">
      <c r="A65" s="41">
        <v>64</v>
      </c>
      <c r="B65" s="16" t="s">
        <v>14</v>
      </c>
      <c r="C65" s="16" t="s">
        <v>395</v>
      </c>
      <c r="D65" s="16" t="s">
        <v>339</v>
      </c>
      <c r="E65" s="16" t="s">
        <v>1240</v>
      </c>
      <c r="F65" s="16" t="s">
        <v>1020</v>
      </c>
      <c r="G65" s="4" t="s">
        <v>489</v>
      </c>
      <c r="H65" s="636" t="s">
        <v>1389</v>
      </c>
      <c r="I65" s="16" t="s">
        <v>396</v>
      </c>
      <c r="J65" s="2" t="s">
        <v>992</v>
      </c>
      <c r="K65" s="12" t="s">
        <v>1189</v>
      </c>
      <c r="L65" s="3" t="s">
        <v>10</v>
      </c>
      <c r="M65" s="45">
        <v>79407</v>
      </c>
      <c r="N65" s="46">
        <v>12215</v>
      </c>
      <c r="O65" s="51">
        <v>0.15382799999999999</v>
      </c>
      <c r="P65" s="39" t="s">
        <v>111</v>
      </c>
      <c r="Q65" s="12" t="s">
        <v>490</v>
      </c>
      <c r="R65" s="16">
        <v>0</v>
      </c>
      <c r="S65" s="16">
        <v>1200</v>
      </c>
      <c r="T65" s="16">
        <v>0</v>
      </c>
      <c r="U65" s="12">
        <v>1200</v>
      </c>
      <c r="V65" s="59">
        <v>0</v>
      </c>
      <c r="W65" s="59">
        <v>1200</v>
      </c>
      <c r="X65" s="6">
        <f t="shared" si="9"/>
        <v>0</v>
      </c>
      <c r="Y65" s="6">
        <f t="shared" si="8"/>
        <v>2400</v>
      </c>
      <c r="Z65" s="12">
        <f t="shared" si="13"/>
        <v>3600</v>
      </c>
      <c r="AA65" s="811">
        <v>0</v>
      </c>
      <c r="AB65" s="811" t="s">
        <v>1553</v>
      </c>
      <c r="AC65" s="836">
        <f t="shared" si="2"/>
        <v>0</v>
      </c>
      <c r="AD65" s="836">
        <v>0</v>
      </c>
      <c r="AE65" s="811">
        <v>0.36</v>
      </c>
      <c r="AF65" s="811">
        <v>0.35</v>
      </c>
      <c r="AG65" s="836">
        <f t="shared" si="3"/>
        <v>0</v>
      </c>
      <c r="AH65" s="836">
        <f t="shared" si="4"/>
        <v>0</v>
      </c>
      <c r="AI65" s="794">
        <f t="shared" si="5"/>
        <v>0</v>
      </c>
      <c r="AJ65" s="794">
        <f t="shared" si="6"/>
        <v>0</v>
      </c>
      <c r="AK65" s="60">
        <v>16348900</v>
      </c>
      <c r="AL65" s="61">
        <v>3939476</v>
      </c>
      <c r="AM65" s="62">
        <f t="shared" si="14"/>
        <v>20288376</v>
      </c>
      <c r="AN65" s="123">
        <v>539316</v>
      </c>
      <c r="AO65" s="77">
        <v>539316</v>
      </c>
      <c r="AP65" s="171">
        <v>0</v>
      </c>
      <c r="AQ65" s="638">
        <v>3998361</v>
      </c>
      <c r="AR65" s="638">
        <v>4361997</v>
      </c>
      <c r="AS65" s="638">
        <v>4374678</v>
      </c>
      <c r="AT65" s="638">
        <v>3613864</v>
      </c>
      <c r="AU65" s="638">
        <v>465277</v>
      </c>
      <c r="AV65" s="638">
        <v>539316.09</v>
      </c>
      <c r="AW65" s="786">
        <v>865414.15</v>
      </c>
      <c r="AX65" s="720">
        <v>0</v>
      </c>
      <c r="AY65" s="720">
        <v>865414</v>
      </c>
      <c r="AZ65" s="640">
        <v>2069468.76</v>
      </c>
      <c r="BA65" s="668"/>
      <c r="BB65" s="668"/>
      <c r="BC65" s="668"/>
      <c r="BD65" s="668"/>
      <c r="BE65" s="668"/>
      <c r="BF65" s="184"/>
      <c r="BG65" s="184">
        <v>0</v>
      </c>
      <c r="BH65" s="184">
        <v>539316</v>
      </c>
      <c r="BI65" s="181">
        <v>539316</v>
      </c>
      <c r="BJ65" s="181">
        <f t="shared" si="7"/>
        <v>539316</v>
      </c>
      <c r="BK65" s="11"/>
    </row>
    <row r="66" spans="1:63" ht="150.94999999999999" customHeight="1" thickBot="1" x14ac:dyDescent="0.25">
      <c r="A66" s="723">
        <v>65</v>
      </c>
      <c r="B66" s="209" t="s">
        <v>55</v>
      </c>
      <c r="C66" s="209" t="s">
        <v>398</v>
      </c>
      <c r="D66" s="209" t="s">
        <v>1023</v>
      </c>
      <c r="E66" s="209" t="s">
        <v>1237</v>
      </c>
      <c r="F66" s="600" t="s">
        <v>75</v>
      </c>
      <c r="G66" s="607" t="s">
        <v>491</v>
      </c>
      <c r="H66" s="636" t="s">
        <v>1401</v>
      </c>
      <c r="I66" s="728" t="s">
        <v>399</v>
      </c>
      <c r="J66" s="600" t="s">
        <v>1003</v>
      </c>
      <c r="K66" s="729" t="s">
        <v>400</v>
      </c>
      <c r="L66" s="600" t="s">
        <v>63</v>
      </c>
      <c r="M66" s="231" t="s">
        <v>492</v>
      </c>
      <c r="N66" s="232" t="s">
        <v>493</v>
      </c>
      <c r="O66" s="232" t="s">
        <v>494</v>
      </c>
      <c r="P66" s="157" t="s">
        <v>189</v>
      </c>
      <c r="Q66" s="157" t="s">
        <v>495</v>
      </c>
      <c r="R66" s="600">
        <v>0</v>
      </c>
      <c r="S66" s="600">
        <v>550</v>
      </c>
      <c r="T66" s="600">
        <v>0</v>
      </c>
      <c r="U66" s="157">
        <v>550</v>
      </c>
      <c r="V66" s="623">
        <v>0</v>
      </c>
      <c r="W66" s="623">
        <v>550</v>
      </c>
      <c r="X66" s="6">
        <f t="shared" si="9"/>
        <v>0</v>
      </c>
      <c r="Y66" s="6">
        <f t="shared" si="8"/>
        <v>1100</v>
      </c>
      <c r="Z66" s="12">
        <f t="shared" si="13"/>
        <v>1650</v>
      </c>
      <c r="AA66" s="815">
        <v>1</v>
      </c>
      <c r="AB66" s="815">
        <v>0.27789999999999998</v>
      </c>
      <c r="AC66" s="836">
        <f t="shared" si="2"/>
        <v>0</v>
      </c>
      <c r="AD66" s="836">
        <f>AB66*T66</f>
        <v>0</v>
      </c>
      <c r="AE66" s="815">
        <v>1</v>
      </c>
      <c r="AF66" s="815">
        <v>0.15000000000000002</v>
      </c>
      <c r="AG66" s="836">
        <f t="shared" si="3"/>
        <v>0</v>
      </c>
      <c r="AH66" s="836">
        <f t="shared" si="4"/>
        <v>0</v>
      </c>
      <c r="AI66" s="794">
        <f t="shared" si="5"/>
        <v>0</v>
      </c>
      <c r="AJ66" s="794">
        <f t="shared" si="6"/>
        <v>0</v>
      </c>
      <c r="AK66" s="747">
        <v>7888708.8377900124</v>
      </c>
      <c r="AL66" s="753">
        <v>999364</v>
      </c>
      <c r="AM66" s="238">
        <f t="shared" ref="AM66:AM97" si="16">SUM(AK66:AL66)</f>
        <v>8888072.8377900124</v>
      </c>
      <c r="AN66" s="224">
        <v>208720</v>
      </c>
      <c r="AO66" s="224">
        <v>208720</v>
      </c>
      <c r="AP66" s="597">
        <v>0</v>
      </c>
      <c r="AQ66" s="638">
        <v>1781394.6845270901</v>
      </c>
      <c r="AR66" s="638">
        <v>1974346.19</v>
      </c>
      <c r="AS66" s="638">
        <v>2101780.0299999998</v>
      </c>
      <c r="AT66" s="638">
        <v>2031187.93</v>
      </c>
      <c r="AU66" s="638">
        <v>93757.614975110002</v>
      </c>
      <c r="AV66" s="638">
        <v>208719.26</v>
      </c>
      <c r="AW66" s="786">
        <v>221115.22</v>
      </c>
      <c r="AX66" s="720">
        <v>221115</v>
      </c>
      <c r="AY66" s="720">
        <v>0</v>
      </c>
      <c r="AZ66" s="615">
        <v>475770.84</v>
      </c>
      <c r="BA66" s="668"/>
      <c r="BB66" s="668"/>
      <c r="BC66" s="668"/>
      <c r="BD66" s="668"/>
      <c r="BE66" s="668"/>
      <c r="BF66" s="182"/>
      <c r="BG66" s="182">
        <v>0</v>
      </c>
      <c r="BH66" s="182">
        <f>104360*2</f>
        <v>208720</v>
      </c>
      <c r="BI66" s="179">
        <f>104360*2</f>
        <v>208720</v>
      </c>
      <c r="BJ66" s="181">
        <f t="shared" si="7"/>
        <v>208720</v>
      </c>
    </row>
    <row r="67" spans="1:63" ht="78.599999999999994" customHeight="1" thickBot="1" x14ac:dyDescent="0.25">
      <c r="A67" s="41">
        <v>66</v>
      </c>
      <c r="B67" s="16" t="s">
        <v>401</v>
      </c>
      <c r="C67" s="16" t="s">
        <v>402</v>
      </c>
      <c r="D67" s="16" t="s">
        <v>397</v>
      </c>
      <c r="E67" s="16" t="s">
        <v>1236</v>
      </c>
      <c r="F67" s="16" t="s">
        <v>1020</v>
      </c>
      <c r="G67" s="4" t="s">
        <v>496</v>
      </c>
      <c r="H67" s="636" t="s">
        <v>1402</v>
      </c>
      <c r="I67" s="57" t="s">
        <v>403</v>
      </c>
      <c r="J67" s="16" t="s">
        <v>992</v>
      </c>
      <c r="K67" s="5" t="s">
        <v>404</v>
      </c>
      <c r="L67" s="58" t="s">
        <v>10</v>
      </c>
      <c r="M67" s="45">
        <v>327</v>
      </c>
      <c r="N67" s="46">
        <v>62</v>
      </c>
      <c r="O67" s="51">
        <v>0.18960199999999999</v>
      </c>
      <c r="P67" s="12" t="s">
        <v>189</v>
      </c>
      <c r="Q67" s="12" t="s">
        <v>497</v>
      </c>
      <c r="R67" s="16">
        <v>0</v>
      </c>
      <c r="S67" s="16">
        <v>600</v>
      </c>
      <c r="T67" s="16">
        <v>0</v>
      </c>
      <c r="U67" s="12">
        <v>600</v>
      </c>
      <c r="V67" s="59">
        <v>0</v>
      </c>
      <c r="W67" s="59">
        <v>600</v>
      </c>
      <c r="X67" s="6">
        <f t="shared" ref="X67:X100" si="17">SUM(T67,V67)</f>
        <v>0</v>
      </c>
      <c r="Y67" s="6">
        <f t="shared" ref="Y67:Y100" si="18">S67+U67</f>
        <v>1200</v>
      </c>
      <c r="Z67" s="12">
        <f t="shared" ref="Z67:Z100" si="19">SUM(S67,U67,W67)</f>
        <v>1800</v>
      </c>
      <c r="AA67" s="811">
        <v>0.25</v>
      </c>
      <c r="AB67" s="811">
        <v>9.509999999999999E-2</v>
      </c>
      <c r="AC67" s="836">
        <f t="shared" ref="AC67:AC100" si="20">AA67*T67</f>
        <v>0</v>
      </c>
      <c r="AD67" s="836">
        <f t="shared" ref="AD67:AD100" si="21">AB67*T67</f>
        <v>0</v>
      </c>
      <c r="AE67" s="811">
        <v>0.25</v>
      </c>
      <c r="AF67" s="811">
        <v>7.0000000000000007E-2</v>
      </c>
      <c r="AG67" s="836">
        <f t="shared" ref="AG67:AG100" si="22">AE67*V67</f>
        <v>0</v>
      </c>
      <c r="AH67" s="836">
        <f t="shared" ref="AH67:AH89" si="23">AF67*V67</f>
        <v>0</v>
      </c>
      <c r="AI67" s="794">
        <f t="shared" ref="AI67:AI100" si="24">SUM(AC67,AG67)</f>
        <v>0</v>
      </c>
      <c r="AJ67" s="794">
        <f t="shared" ref="AJ67:AJ100" si="25">SUM(AD67,AH67)</f>
        <v>0</v>
      </c>
      <c r="AK67" s="60">
        <v>4451416.5824915832</v>
      </c>
      <c r="AL67" s="61">
        <v>627159</v>
      </c>
      <c r="AM67" s="62">
        <f t="shared" si="16"/>
        <v>5078575.5824915832</v>
      </c>
      <c r="AN67" s="77">
        <v>132726</v>
      </c>
      <c r="AO67" s="77">
        <v>132726</v>
      </c>
      <c r="AP67" s="596">
        <v>0</v>
      </c>
      <c r="AQ67" s="638">
        <v>974256.98653198697</v>
      </c>
      <c r="AR67" s="638">
        <v>1106017.42</v>
      </c>
      <c r="AS67" s="638">
        <v>1208631.06</v>
      </c>
      <c r="AT67" s="638">
        <v>1162511.1100000001</v>
      </c>
      <c r="AU67" s="638">
        <v>51276.683501683503</v>
      </c>
      <c r="AV67" s="638">
        <v>132726.38</v>
      </c>
      <c r="AW67" s="786">
        <v>140609.07999999999</v>
      </c>
      <c r="AX67" s="720">
        <v>140609</v>
      </c>
      <c r="AY67" s="720">
        <v>0</v>
      </c>
      <c r="AZ67" s="615">
        <v>302546.78999999998</v>
      </c>
      <c r="BA67" s="668"/>
      <c r="BB67" s="668"/>
      <c r="BC67" s="668"/>
      <c r="BD67" s="668"/>
      <c r="BE67" s="668"/>
      <c r="BF67" s="184"/>
      <c r="BG67" s="184">
        <v>0</v>
      </c>
      <c r="BH67" s="184">
        <v>132726</v>
      </c>
      <c r="BI67" s="181">
        <v>132726</v>
      </c>
      <c r="BJ67" s="181">
        <f t="shared" ref="BJ67:BJ129" si="26">BG67+BH67</f>
        <v>132726</v>
      </c>
    </row>
    <row r="68" spans="1:63" ht="77.099999999999994" customHeight="1" thickBot="1" x14ac:dyDescent="0.25">
      <c r="A68" s="41">
        <v>67</v>
      </c>
      <c r="B68" s="16" t="s">
        <v>55</v>
      </c>
      <c r="C68" s="2" t="s">
        <v>405</v>
      </c>
      <c r="D68" s="2" t="s">
        <v>1023</v>
      </c>
      <c r="E68" s="2" t="s">
        <v>1238</v>
      </c>
      <c r="F68" s="16" t="s">
        <v>407</v>
      </c>
      <c r="G68" s="4" t="s">
        <v>498</v>
      </c>
      <c r="H68" s="636" t="s">
        <v>1403</v>
      </c>
      <c r="I68" s="56" t="s">
        <v>406</v>
      </c>
      <c r="J68" s="16" t="s">
        <v>992</v>
      </c>
      <c r="K68" s="12" t="s">
        <v>408</v>
      </c>
      <c r="L68" s="58" t="s">
        <v>10</v>
      </c>
      <c r="M68" s="45">
        <v>281</v>
      </c>
      <c r="N68" s="46">
        <v>196</v>
      </c>
      <c r="O68" s="51">
        <v>0.69750900000000005</v>
      </c>
      <c r="P68" s="12" t="s">
        <v>189</v>
      </c>
      <c r="Q68" s="12" t="s">
        <v>495</v>
      </c>
      <c r="R68" s="16">
        <v>0</v>
      </c>
      <c r="S68" s="16">
        <v>451</v>
      </c>
      <c r="T68" s="16">
        <v>0</v>
      </c>
      <c r="U68" s="12">
        <v>451</v>
      </c>
      <c r="V68" s="59">
        <v>0</v>
      </c>
      <c r="W68" s="59">
        <v>451</v>
      </c>
      <c r="X68" s="6">
        <f t="shared" si="17"/>
        <v>0</v>
      </c>
      <c r="Y68" s="6">
        <f t="shared" si="18"/>
        <v>902</v>
      </c>
      <c r="Z68" s="12">
        <f t="shared" si="19"/>
        <v>1353</v>
      </c>
      <c r="AA68" s="811">
        <v>1</v>
      </c>
      <c r="AB68" s="811">
        <v>0.18909999999999999</v>
      </c>
      <c r="AC68" s="836">
        <f t="shared" si="20"/>
        <v>0</v>
      </c>
      <c r="AD68" s="836">
        <f t="shared" si="21"/>
        <v>0</v>
      </c>
      <c r="AE68" s="811">
        <v>1</v>
      </c>
      <c r="AF68" s="811">
        <v>0.32699999999999996</v>
      </c>
      <c r="AG68" s="836">
        <f t="shared" si="22"/>
        <v>0</v>
      </c>
      <c r="AH68" s="836">
        <f t="shared" si="23"/>
        <v>0</v>
      </c>
      <c r="AI68" s="794">
        <f t="shared" si="24"/>
        <v>0</v>
      </c>
      <c r="AJ68" s="794">
        <f t="shared" si="25"/>
        <v>0</v>
      </c>
      <c r="AK68" s="60">
        <v>9946509.3056552503</v>
      </c>
      <c r="AL68" s="61">
        <v>1260054</v>
      </c>
      <c r="AM68" s="62">
        <f t="shared" si="16"/>
        <v>11206563.30565525</v>
      </c>
      <c r="AN68" s="77">
        <v>263164</v>
      </c>
      <c r="AO68" s="77">
        <v>263164</v>
      </c>
      <c r="AP68" s="171">
        <v>0</v>
      </c>
      <c r="AQ68" s="638">
        <v>2246078.4357782602</v>
      </c>
      <c r="AR68" s="638">
        <v>2489362.1</v>
      </c>
      <c r="AS68" s="638">
        <v>2650037.5499999998</v>
      </c>
      <c r="AT68" s="638">
        <v>2561031.2200000002</v>
      </c>
      <c r="AU68" s="638">
        <v>118214.65</v>
      </c>
      <c r="AV68" s="638">
        <v>263164.48</v>
      </c>
      <c r="AW68" s="786">
        <v>278793.98</v>
      </c>
      <c r="AX68" s="720">
        <v>278794</v>
      </c>
      <c r="AY68" s="720">
        <v>0</v>
      </c>
      <c r="AZ68" s="615">
        <v>599877.51</v>
      </c>
      <c r="BA68" s="668"/>
      <c r="BB68" s="668"/>
      <c r="BC68" s="668"/>
      <c r="BD68" s="668"/>
      <c r="BE68" s="668"/>
      <c r="BF68" s="184"/>
      <c r="BG68" s="184">
        <v>0</v>
      </c>
      <c r="BH68" s="184">
        <v>263164</v>
      </c>
      <c r="BI68" s="181">
        <v>263164</v>
      </c>
      <c r="BJ68" s="181">
        <f t="shared" si="26"/>
        <v>263164</v>
      </c>
    </row>
    <row r="69" spans="1:63" ht="48.6" customHeight="1" thickBot="1" x14ac:dyDescent="0.25">
      <c r="A69" s="41">
        <v>68</v>
      </c>
      <c r="B69" s="16" t="s">
        <v>55</v>
      </c>
      <c r="C69" s="16" t="s">
        <v>409</v>
      </c>
      <c r="D69" s="16" t="s">
        <v>1023</v>
      </c>
      <c r="E69" s="16" t="s">
        <v>1237</v>
      </c>
      <c r="F69" s="16" t="s">
        <v>75</v>
      </c>
      <c r="G69" s="4" t="s">
        <v>499</v>
      </c>
      <c r="H69" s="636" t="s">
        <v>1404</v>
      </c>
      <c r="I69" s="57" t="s">
        <v>410</v>
      </c>
      <c r="J69" s="16" t="s">
        <v>1003</v>
      </c>
      <c r="K69" s="12" t="s">
        <v>411</v>
      </c>
      <c r="L69" s="58" t="s">
        <v>10</v>
      </c>
      <c r="M69" s="45">
        <v>144</v>
      </c>
      <c r="N69" s="46">
        <v>119</v>
      </c>
      <c r="O69" s="51">
        <v>0.82638900000000004</v>
      </c>
      <c r="P69" s="12" t="s">
        <v>189</v>
      </c>
      <c r="Q69" s="12" t="s">
        <v>500</v>
      </c>
      <c r="R69" s="16">
        <v>0</v>
      </c>
      <c r="S69" s="16">
        <v>580</v>
      </c>
      <c r="T69" s="16">
        <v>0</v>
      </c>
      <c r="U69" s="12">
        <v>580</v>
      </c>
      <c r="V69" s="59">
        <v>0</v>
      </c>
      <c r="W69" s="59">
        <v>580</v>
      </c>
      <c r="X69" s="6">
        <f t="shared" si="17"/>
        <v>0</v>
      </c>
      <c r="Y69" s="6">
        <f t="shared" si="18"/>
        <v>1160</v>
      </c>
      <c r="Z69" s="12">
        <f t="shared" si="19"/>
        <v>1740</v>
      </c>
      <c r="AA69" s="811">
        <v>0.45</v>
      </c>
      <c r="AB69" s="811">
        <v>0.23520000000000002</v>
      </c>
      <c r="AC69" s="836">
        <f t="shared" si="20"/>
        <v>0</v>
      </c>
      <c r="AD69" s="836">
        <f t="shared" si="21"/>
        <v>0</v>
      </c>
      <c r="AE69" s="811">
        <v>0.45</v>
      </c>
      <c r="AF69" s="811">
        <v>0.21510000000000001</v>
      </c>
      <c r="AG69" s="836">
        <f t="shared" si="22"/>
        <v>0</v>
      </c>
      <c r="AH69" s="836">
        <f t="shared" si="23"/>
        <v>0</v>
      </c>
      <c r="AI69" s="794">
        <f t="shared" si="24"/>
        <v>0</v>
      </c>
      <c r="AJ69" s="794">
        <f t="shared" si="25"/>
        <v>0</v>
      </c>
      <c r="AK69" s="60">
        <v>9946983.016628515</v>
      </c>
      <c r="AL69" s="61">
        <v>1260110</v>
      </c>
      <c r="AM69" s="62">
        <f t="shared" si="16"/>
        <v>11207093.016628515</v>
      </c>
      <c r="AN69" s="77">
        <v>263178</v>
      </c>
      <c r="AO69" s="77">
        <v>263178</v>
      </c>
      <c r="AP69" s="596">
        <v>0</v>
      </c>
      <c r="AQ69" s="638">
        <v>2246185.4071758701</v>
      </c>
      <c r="AR69" s="638">
        <v>2489480.66</v>
      </c>
      <c r="AS69" s="638">
        <v>2650163.7599999998</v>
      </c>
      <c r="AT69" s="638">
        <v>2561153.19</v>
      </c>
      <c r="AU69" s="638">
        <v>118220.284588204</v>
      </c>
      <c r="AV69" s="638">
        <v>263177.02</v>
      </c>
      <c r="AW69" s="786">
        <v>278807.26</v>
      </c>
      <c r="AX69" s="720">
        <v>278808</v>
      </c>
      <c r="AY69" s="720">
        <v>0</v>
      </c>
      <c r="AZ69" s="615">
        <v>599906.07999999996</v>
      </c>
      <c r="BA69" s="668"/>
      <c r="BB69" s="668"/>
      <c r="BC69" s="668"/>
      <c r="BD69" s="668"/>
      <c r="BE69" s="668"/>
      <c r="BF69" s="184"/>
      <c r="BG69" s="184">
        <v>0</v>
      </c>
      <c r="BH69" s="184">
        <v>263178</v>
      </c>
      <c r="BI69" s="181">
        <v>263178</v>
      </c>
      <c r="BJ69" s="181">
        <f t="shared" si="26"/>
        <v>263178</v>
      </c>
    </row>
    <row r="70" spans="1:63" ht="185.1" customHeight="1" thickBot="1" x14ac:dyDescent="0.25">
      <c r="A70" s="41">
        <v>69</v>
      </c>
      <c r="B70" s="16" t="s">
        <v>55</v>
      </c>
      <c r="C70" s="16" t="s">
        <v>412</v>
      </c>
      <c r="D70" s="16" t="s">
        <v>1023</v>
      </c>
      <c r="E70" s="16" t="s">
        <v>1238</v>
      </c>
      <c r="F70" s="16" t="s">
        <v>75</v>
      </c>
      <c r="G70" s="4" t="s">
        <v>501</v>
      </c>
      <c r="H70" s="636" t="s">
        <v>1405</v>
      </c>
      <c r="I70" s="57" t="s">
        <v>413</v>
      </c>
      <c r="J70" s="2" t="s">
        <v>1263</v>
      </c>
      <c r="K70" s="5" t="s">
        <v>1174</v>
      </c>
      <c r="L70" s="58" t="s">
        <v>209</v>
      </c>
      <c r="M70" s="45" t="s">
        <v>502</v>
      </c>
      <c r="N70" s="46" t="s">
        <v>503</v>
      </c>
      <c r="O70" s="51" t="s">
        <v>504</v>
      </c>
      <c r="P70" s="12" t="s">
        <v>189</v>
      </c>
      <c r="Q70" s="12" t="s">
        <v>505</v>
      </c>
      <c r="R70" s="16">
        <v>71</v>
      </c>
      <c r="S70" s="16">
        <v>220</v>
      </c>
      <c r="T70" s="16">
        <v>71</v>
      </c>
      <c r="U70" s="12">
        <v>220</v>
      </c>
      <c r="V70" s="59">
        <v>71</v>
      </c>
      <c r="W70" s="59">
        <v>220</v>
      </c>
      <c r="X70" s="6">
        <f t="shared" si="17"/>
        <v>142</v>
      </c>
      <c r="Y70" s="6">
        <f t="shared" si="18"/>
        <v>440</v>
      </c>
      <c r="Z70" s="12">
        <f t="shared" si="19"/>
        <v>660</v>
      </c>
      <c r="AA70" s="811">
        <v>1</v>
      </c>
      <c r="AB70" s="811">
        <v>0.93629999999999991</v>
      </c>
      <c r="AC70" s="836">
        <f t="shared" si="20"/>
        <v>71</v>
      </c>
      <c r="AD70" s="836">
        <f t="shared" si="21"/>
        <v>66.4773</v>
      </c>
      <c r="AE70" s="811">
        <v>1</v>
      </c>
      <c r="AF70" s="811">
        <v>0.90999999999999992</v>
      </c>
      <c r="AG70" s="836">
        <f t="shared" si="22"/>
        <v>71</v>
      </c>
      <c r="AH70" s="836">
        <f t="shared" si="23"/>
        <v>64.61</v>
      </c>
      <c r="AI70" s="794">
        <f t="shared" si="24"/>
        <v>142</v>
      </c>
      <c r="AJ70" s="794">
        <f t="shared" si="25"/>
        <v>131.0873</v>
      </c>
      <c r="AK70" s="60">
        <v>10019934.506511401</v>
      </c>
      <c r="AL70" s="61">
        <v>1269351</v>
      </c>
      <c r="AM70" s="62">
        <f t="shared" si="16"/>
        <v>11289285.506511401</v>
      </c>
      <c r="AN70" s="158">
        <v>265109</v>
      </c>
      <c r="AO70" s="158">
        <v>265109</v>
      </c>
      <c r="AP70" s="594">
        <v>0</v>
      </c>
      <c r="AQ70" s="638">
        <v>2262659.0024089999</v>
      </c>
      <c r="AR70" s="638">
        <v>2507738.59</v>
      </c>
      <c r="AS70" s="638">
        <v>2669600.15</v>
      </c>
      <c r="AT70" s="638">
        <v>2579936.77</v>
      </c>
      <c r="AU70" s="638">
        <v>119087.315916263</v>
      </c>
      <c r="AV70" s="638">
        <v>265107.17</v>
      </c>
      <c r="AW70" s="786">
        <v>280851</v>
      </c>
      <c r="AX70" s="720">
        <v>234045</v>
      </c>
      <c r="AY70" s="720">
        <v>46809</v>
      </c>
      <c r="AZ70" s="615">
        <v>604305.81999999995</v>
      </c>
      <c r="BA70" s="668"/>
      <c r="BB70" s="668"/>
      <c r="BC70" s="668"/>
      <c r="BD70" s="668"/>
      <c r="BE70" s="668"/>
      <c r="BF70" s="182"/>
      <c r="BG70" s="182">
        <v>0</v>
      </c>
      <c r="BH70" s="182">
        <f>176739+(44185*2)</f>
        <v>265109</v>
      </c>
      <c r="BI70" s="179">
        <f>176739+(44185*2)</f>
        <v>265109</v>
      </c>
      <c r="BJ70" s="181">
        <f t="shared" si="26"/>
        <v>265109</v>
      </c>
    </row>
    <row r="71" spans="1:63" ht="315.75" thickBot="1" x14ac:dyDescent="0.25">
      <c r="A71" s="41">
        <v>70</v>
      </c>
      <c r="B71" s="16" t="s">
        <v>55</v>
      </c>
      <c r="C71" s="16" t="s">
        <v>414</v>
      </c>
      <c r="D71" s="16" t="s">
        <v>1023</v>
      </c>
      <c r="E71" s="16" t="s">
        <v>1238</v>
      </c>
      <c r="F71" s="16" t="s">
        <v>407</v>
      </c>
      <c r="G71" s="4" t="s">
        <v>506</v>
      </c>
      <c r="H71" s="636" t="s">
        <v>1406</v>
      </c>
      <c r="I71" s="164" t="s">
        <v>1073</v>
      </c>
      <c r="J71" s="16" t="s">
        <v>1012</v>
      </c>
      <c r="K71" s="12" t="s">
        <v>416</v>
      </c>
      <c r="L71" s="16" t="s">
        <v>63</v>
      </c>
      <c r="M71" s="45" t="s">
        <v>507</v>
      </c>
      <c r="N71" s="46" t="s">
        <v>508</v>
      </c>
      <c r="O71" s="51" t="s">
        <v>509</v>
      </c>
      <c r="P71" s="12" t="s">
        <v>189</v>
      </c>
      <c r="Q71" s="12" t="s">
        <v>510</v>
      </c>
      <c r="R71" s="16">
        <v>0</v>
      </c>
      <c r="S71" s="16">
        <v>420</v>
      </c>
      <c r="T71" s="16">
        <v>0</v>
      </c>
      <c r="U71" s="21">
        <v>420</v>
      </c>
      <c r="V71" s="26">
        <v>0</v>
      </c>
      <c r="W71" s="26">
        <v>420</v>
      </c>
      <c r="X71" s="6">
        <f t="shared" si="17"/>
        <v>0</v>
      </c>
      <c r="Y71" s="6">
        <f t="shared" si="18"/>
        <v>840</v>
      </c>
      <c r="Z71" s="12">
        <f t="shared" si="19"/>
        <v>1260</v>
      </c>
      <c r="AA71" s="811">
        <v>0.75</v>
      </c>
      <c r="AB71" s="811">
        <v>0.36809999999999998</v>
      </c>
      <c r="AC71" s="836">
        <f t="shared" si="20"/>
        <v>0</v>
      </c>
      <c r="AD71" s="836">
        <f t="shared" si="21"/>
        <v>0</v>
      </c>
      <c r="AE71" s="811">
        <v>0.75</v>
      </c>
      <c r="AF71" s="811">
        <v>0.44999999999999996</v>
      </c>
      <c r="AG71" s="836">
        <f t="shared" si="22"/>
        <v>0</v>
      </c>
      <c r="AH71" s="836">
        <f t="shared" si="23"/>
        <v>0</v>
      </c>
      <c r="AI71" s="794">
        <f t="shared" si="24"/>
        <v>0</v>
      </c>
      <c r="AJ71" s="794">
        <f t="shared" si="25"/>
        <v>0</v>
      </c>
      <c r="AK71" s="60">
        <v>2498708.8019121243</v>
      </c>
      <c r="AL71" s="61">
        <v>605067</v>
      </c>
      <c r="AM71" s="62">
        <f t="shared" si="16"/>
        <v>3103775.8019121243</v>
      </c>
      <c r="AN71" s="158">
        <v>66364</v>
      </c>
      <c r="AO71" s="158">
        <v>132727</v>
      </c>
      <c r="AP71" s="595">
        <v>66363</v>
      </c>
      <c r="AQ71" s="638">
        <v>554519.018755086</v>
      </c>
      <c r="AR71" s="638">
        <v>622342.85</v>
      </c>
      <c r="AS71" s="638">
        <v>673462.19</v>
      </c>
      <c r="AT71" s="638">
        <v>648384.75</v>
      </c>
      <c r="AU71" s="638">
        <v>29185</v>
      </c>
      <c r="AV71" s="638">
        <v>132726.38</v>
      </c>
      <c r="AW71" s="786">
        <v>105457.5</v>
      </c>
      <c r="AX71" s="720">
        <v>70304</v>
      </c>
      <c r="AY71" s="720">
        <v>35152</v>
      </c>
      <c r="AZ71" s="615">
        <v>302546.8</v>
      </c>
      <c r="BA71" s="668"/>
      <c r="BB71" s="668"/>
      <c r="BC71" s="668"/>
      <c r="BD71" s="668"/>
      <c r="BE71" s="668"/>
      <c r="BF71" s="182"/>
      <c r="BG71" s="182">
        <v>0</v>
      </c>
      <c r="BH71" s="183">
        <v>33182</v>
      </c>
      <c r="BI71" s="248">
        <f>66364*2</f>
        <v>132728</v>
      </c>
      <c r="BJ71" s="245">
        <f t="shared" si="26"/>
        <v>33182</v>
      </c>
    </row>
    <row r="72" spans="1:63" ht="179.45" customHeight="1" thickBot="1" x14ac:dyDescent="0.25">
      <c r="A72" s="41">
        <v>71</v>
      </c>
      <c r="B72" s="16" t="s">
        <v>79</v>
      </c>
      <c r="C72" s="16" t="s">
        <v>417</v>
      </c>
      <c r="D72" s="16" t="s">
        <v>397</v>
      </c>
      <c r="E72" s="16" t="s">
        <v>1239</v>
      </c>
      <c r="F72" s="16" t="s">
        <v>1025</v>
      </c>
      <c r="G72" s="4" t="s">
        <v>511</v>
      </c>
      <c r="H72" s="636" t="s">
        <v>1407</v>
      </c>
      <c r="I72" s="16" t="s">
        <v>418</v>
      </c>
      <c r="J72" s="16" t="s">
        <v>1003</v>
      </c>
      <c r="K72" s="12" t="s">
        <v>419</v>
      </c>
      <c r="L72" s="16" t="s">
        <v>10</v>
      </c>
      <c r="M72" s="45">
        <v>1680</v>
      </c>
      <c r="N72" s="46">
        <v>405</v>
      </c>
      <c r="O72" s="51">
        <v>0.24107100000000001</v>
      </c>
      <c r="P72" s="12" t="s">
        <v>189</v>
      </c>
      <c r="Q72" s="12" t="s">
        <v>512</v>
      </c>
      <c r="R72" s="16">
        <v>0</v>
      </c>
      <c r="S72" s="16">
        <v>9460</v>
      </c>
      <c r="T72" s="16">
        <v>0</v>
      </c>
      <c r="U72" s="12">
        <v>9460</v>
      </c>
      <c r="V72" s="59">
        <v>0</v>
      </c>
      <c r="W72" s="59">
        <v>9460</v>
      </c>
      <c r="X72" s="6">
        <f t="shared" si="17"/>
        <v>0</v>
      </c>
      <c r="Y72" s="6">
        <f t="shared" si="18"/>
        <v>18920</v>
      </c>
      <c r="Z72" s="12">
        <f t="shared" si="19"/>
        <v>28380</v>
      </c>
      <c r="AA72" s="811">
        <v>0</v>
      </c>
      <c r="AB72" s="811" t="s">
        <v>1553</v>
      </c>
      <c r="AC72" s="836">
        <f t="shared" si="20"/>
        <v>0</v>
      </c>
      <c r="AD72" s="836" t="e">
        <f t="shared" si="21"/>
        <v>#VALUE!</v>
      </c>
      <c r="AE72" s="811">
        <v>0.23</v>
      </c>
      <c r="AF72" s="811">
        <v>0.1134</v>
      </c>
      <c r="AG72" s="836">
        <f t="shared" si="22"/>
        <v>0</v>
      </c>
      <c r="AH72" s="836">
        <f t="shared" si="23"/>
        <v>0</v>
      </c>
      <c r="AI72" s="794">
        <f t="shared" si="24"/>
        <v>0</v>
      </c>
      <c r="AJ72" s="794">
        <v>0</v>
      </c>
      <c r="AK72" s="60">
        <v>7987518.5999999996</v>
      </c>
      <c r="AL72" s="61">
        <f>809238</f>
        <v>809238</v>
      </c>
      <c r="AM72" s="62">
        <f t="shared" si="16"/>
        <v>8796756.5999999996</v>
      </c>
      <c r="AN72" s="127">
        <v>169012</v>
      </c>
      <c r="AO72" s="77">
        <v>169012</v>
      </c>
      <c r="AP72" s="596">
        <v>0</v>
      </c>
      <c r="AQ72" s="638">
        <v>1819906</v>
      </c>
      <c r="AR72" s="638">
        <v>1902715.5</v>
      </c>
      <c r="AS72" s="638">
        <v>2134627</v>
      </c>
      <c r="AT72" s="638">
        <v>2130270.1</v>
      </c>
      <c r="AU72" s="638">
        <v>95785</v>
      </c>
      <c r="AV72" s="638">
        <v>169011.12</v>
      </c>
      <c r="AW72" s="786">
        <v>174717.02</v>
      </c>
      <c r="AX72" s="720">
        <v>174717</v>
      </c>
      <c r="AY72" s="720">
        <v>0</v>
      </c>
      <c r="AZ72" s="615">
        <v>369724.73999999993</v>
      </c>
      <c r="BA72" s="668"/>
      <c r="BB72" s="668"/>
      <c r="BC72" s="668"/>
      <c r="BD72" s="668"/>
      <c r="BE72" s="668"/>
      <c r="BF72" s="184"/>
      <c r="BG72" s="184">
        <v>0</v>
      </c>
      <c r="BH72" s="184">
        <v>169012</v>
      </c>
      <c r="BI72" s="181">
        <v>169012</v>
      </c>
      <c r="BJ72" s="181">
        <f t="shared" si="26"/>
        <v>169012</v>
      </c>
    </row>
    <row r="73" spans="1:63" ht="105.75" thickBot="1" x14ac:dyDescent="0.25">
      <c r="A73" s="41">
        <v>72</v>
      </c>
      <c r="B73" s="16" t="s">
        <v>79</v>
      </c>
      <c r="C73" s="16" t="s">
        <v>420</v>
      </c>
      <c r="D73" s="16" t="s">
        <v>397</v>
      </c>
      <c r="E73" s="16" t="s">
        <v>1240</v>
      </c>
      <c r="F73" s="16" t="s">
        <v>1020</v>
      </c>
      <c r="G73" s="4" t="s">
        <v>513</v>
      </c>
      <c r="H73" s="636" t="s">
        <v>1408</v>
      </c>
      <c r="I73" s="16" t="s">
        <v>421</v>
      </c>
      <c r="J73" s="16" t="s">
        <v>1003</v>
      </c>
      <c r="K73" s="12" t="s">
        <v>419</v>
      </c>
      <c r="L73" s="16" t="s">
        <v>10</v>
      </c>
      <c r="M73" s="45">
        <v>1680</v>
      </c>
      <c r="N73" s="46">
        <v>405</v>
      </c>
      <c r="O73" s="51">
        <v>0.24107100000000001</v>
      </c>
      <c r="P73" s="12" t="s">
        <v>189</v>
      </c>
      <c r="Q73" s="12" t="s">
        <v>514</v>
      </c>
      <c r="R73" s="16">
        <v>0</v>
      </c>
      <c r="S73" s="63">
        <v>9250</v>
      </c>
      <c r="T73" s="63">
        <v>0</v>
      </c>
      <c r="U73" s="52">
        <v>9250</v>
      </c>
      <c r="V73" s="64">
        <v>0</v>
      </c>
      <c r="W73" s="64">
        <v>9250</v>
      </c>
      <c r="X73" s="6">
        <f t="shared" si="17"/>
        <v>0</v>
      </c>
      <c r="Y73" s="6">
        <f t="shared" si="18"/>
        <v>18500</v>
      </c>
      <c r="Z73" s="12">
        <f t="shared" si="19"/>
        <v>27750</v>
      </c>
      <c r="AA73" s="811">
        <v>0.23</v>
      </c>
      <c r="AB73" s="811">
        <v>3.6999999999999998E-2</v>
      </c>
      <c r="AC73" s="836">
        <f t="shared" si="20"/>
        <v>0</v>
      </c>
      <c r="AD73" s="836">
        <f t="shared" si="21"/>
        <v>0</v>
      </c>
      <c r="AE73" s="811">
        <v>0.23</v>
      </c>
      <c r="AF73" s="811">
        <v>0.1111</v>
      </c>
      <c r="AG73" s="836">
        <f t="shared" si="22"/>
        <v>0</v>
      </c>
      <c r="AH73" s="836">
        <f t="shared" si="23"/>
        <v>0</v>
      </c>
      <c r="AI73" s="794">
        <f t="shared" si="24"/>
        <v>0</v>
      </c>
      <c r="AJ73" s="794">
        <f t="shared" si="25"/>
        <v>0</v>
      </c>
      <c r="AK73" s="60">
        <v>11440132</v>
      </c>
      <c r="AL73" s="61">
        <f>1919748</f>
        <v>1919748</v>
      </c>
      <c r="AM73" s="62">
        <f t="shared" si="16"/>
        <v>13359880</v>
      </c>
      <c r="AN73" s="127">
        <v>422528</v>
      </c>
      <c r="AO73" s="77">
        <v>422528</v>
      </c>
      <c r="AP73" s="596">
        <v>0</v>
      </c>
      <c r="AQ73" s="638">
        <v>2586183</v>
      </c>
      <c r="AR73" s="638">
        <v>2916748</v>
      </c>
      <c r="AS73" s="638">
        <v>3033417</v>
      </c>
      <c r="AT73" s="638">
        <v>2903784</v>
      </c>
      <c r="AU73" s="638">
        <v>136115</v>
      </c>
      <c r="AV73" s="638">
        <v>422527.8</v>
      </c>
      <c r="AW73" s="786">
        <v>436792</v>
      </c>
      <c r="AX73" s="720">
        <v>436792</v>
      </c>
      <c r="AY73" s="720">
        <v>0</v>
      </c>
      <c r="AZ73" s="615">
        <v>924311.84999999986</v>
      </c>
      <c r="BA73" s="668"/>
      <c r="BB73" s="668"/>
      <c r="BC73" s="668"/>
      <c r="BD73" s="668"/>
      <c r="BE73" s="668"/>
      <c r="BF73" s="184"/>
      <c r="BG73" s="184">
        <v>0</v>
      </c>
      <c r="BH73" s="184">
        <v>422528</v>
      </c>
      <c r="BI73" s="181">
        <v>422528</v>
      </c>
      <c r="BJ73" s="181">
        <f t="shared" si="26"/>
        <v>422528</v>
      </c>
    </row>
    <row r="74" spans="1:63" ht="195.75" thickBot="1" x14ac:dyDescent="0.25">
      <c r="A74" s="41">
        <v>73</v>
      </c>
      <c r="B74" s="16" t="s">
        <v>79</v>
      </c>
      <c r="C74" s="16" t="s">
        <v>422</v>
      </c>
      <c r="D74" s="16" t="s">
        <v>759</v>
      </c>
      <c r="E74" s="16" t="s">
        <v>1253</v>
      </c>
      <c r="F74" s="16" t="s">
        <v>862</v>
      </c>
      <c r="G74" s="4" t="s">
        <v>515</v>
      </c>
      <c r="H74" s="636" t="s">
        <v>1409</v>
      </c>
      <c r="I74" s="16" t="s">
        <v>423</v>
      </c>
      <c r="J74" s="16" t="s">
        <v>992</v>
      </c>
      <c r="K74" s="12" t="s">
        <v>424</v>
      </c>
      <c r="L74" s="16" t="s">
        <v>10</v>
      </c>
      <c r="M74" s="45">
        <v>50</v>
      </c>
      <c r="N74" s="46">
        <v>17</v>
      </c>
      <c r="O74" s="51">
        <v>0.34</v>
      </c>
      <c r="P74" s="17" t="s">
        <v>111</v>
      </c>
      <c r="Q74" s="12" t="s">
        <v>516</v>
      </c>
      <c r="R74" s="16">
        <v>1162</v>
      </c>
      <c r="S74" s="16">
        <v>2786</v>
      </c>
      <c r="T74" s="16">
        <v>1162</v>
      </c>
      <c r="U74" s="12">
        <v>2786</v>
      </c>
      <c r="V74" s="59">
        <v>1162</v>
      </c>
      <c r="W74" s="59">
        <v>2786</v>
      </c>
      <c r="X74" s="6">
        <f t="shared" si="17"/>
        <v>2324</v>
      </c>
      <c r="Y74" s="6">
        <f t="shared" si="18"/>
        <v>5572</v>
      </c>
      <c r="Z74" s="12">
        <f t="shared" si="19"/>
        <v>8358</v>
      </c>
      <c r="AA74" s="811">
        <v>0.14000000000000001</v>
      </c>
      <c r="AB74" s="811">
        <v>0.159</v>
      </c>
      <c r="AC74" s="836">
        <f t="shared" si="20"/>
        <v>162.68</v>
      </c>
      <c r="AD74" s="836">
        <f t="shared" si="21"/>
        <v>184.75800000000001</v>
      </c>
      <c r="AE74" s="811">
        <v>0.14000000000000001</v>
      </c>
      <c r="AF74" s="811">
        <v>0.17799999999999999</v>
      </c>
      <c r="AG74" s="836">
        <f t="shared" si="22"/>
        <v>162.68</v>
      </c>
      <c r="AH74" s="836">
        <f t="shared" si="23"/>
        <v>206.83599999999998</v>
      </c>
      <c r="AI74" s="794">
        <f t="shared" si="24"/>
        <v>325.36</v>
      </c>
      <c r="AJ74" s="794">
        <f t="shared" si="25"/>
        <v>391.59399999999999</v>
      </c>
      <c r="AK74" s="60">
        <v>6567483</v>
      </c>
      <c r="AL74" s="61">
        <v>791594</v>
      </c>
      <c r="AM74" s="62">
        <f t="shared" si="16"/>
        <v>7359077</v>
      </c>
      <c r="AN74" s="127">
        <v>169012</v>
      </c>
      <c r="AO74" s="77">
        <v>169012</v>
      </c>
      <c r="AP74" s="171">
        <v>0</v>
      </c>
      <c r="AQ74" s="638">
        <v>1484661</v>
      </c>
      <c r="AR74" s="638">
        <v>1674429</v>
      </c>
      <c r="AS74" s="638">
        <v>1741406</v>
      </c>
      <c r="AT74" s="638">
        <v>1666987</v>
      </c>
      <c r="AU74" s="638">
        <v>78141</v>
      </c>
      <c r="AV74" s="638">
        <v>169011.12</v>
      </c>
      <c r="AW74" s="786">
        <v>87359</v>
      </c>
      <c r="AX74" s="720">
        <v>87359</v>
      </c>
      <c r="AY74" s="720">
        <v>0</v>
      </c>
      <c r="AZ74" s="615">
        <v>369724.73999999993</v>
      </c>
      <c r="BA74" s="668"/>
      <c r="BB74" s="668"/>
      <c r="BC74" s="668"/>
      <c r="BD74" s="668"/>
      <c r="BE74" s="668"/>
      <c r="BF74" s="184"/>
      <c r="BG74" s="184">
        <v>0</v>
      </c>
      <c r="BH74" s="184">
        <v>169012</v>
      </c>
      <c r="BI74" s="181">
        <v>169012</v>
      </c>
      <c r="BJ74" s="181">
        <f t="shared" si="26"/>
        <v>169012</v>
      </c>
    </row>
    <row r="75" spans="1:63" ht="368.1" customHeight="1" thickBot="1" x14ac:dyDescent="0.25">
      <c r="A75" s="41">
        <v>74</v>
      </c>
      <c r="B75" s="16" t="s">
        <v>79</v>
      </c>
      <c r="C75" s="16" t="s">
        <v>425</v>
      </c>
      <c r="D75" s="16" t="s">
        <v>397</v>
      </c>
      <c r="E75" s="16" t="s">
        <v>1241</v>
      </c>
      <c r="F75" s="16" t="s">
        <v>1020</v>
      </c>
      <c r="G75" s="4" t="s">
        <v>517</v>
      </c>
      <c r="H75" s="636" t="s">
        <v>1410</v>
      </c>
      <c r="I75" s="16" t="s">
        <v>426</v>
      </c>
      <c r="J75" s="16" t="s">
        <v>992</v>
      </c>
      <c r="K75" s="12" t="s">
        <v>427</v>
      </c>
      <c r="L75" s="16" t="s">
        <v>209</v>
      </c>
      <c r="M75" s="45" t="s">
        <v>518</v>
      </c>
      <c r="N75" s="46" t="s">
        <v>519</v>
      </c>
      <c r="O75" s="51" t="s">
        <v>1074</v>
      </c>
      <c r="P75" s="12" t="s">
        <v>189</v>
      </c>
      <c r="Q75" s="12" t="s">
        <v>514</v>
      </c>
      <c r="R75" s="16">
        <v>0</v>
      </c>
      <c r="S75" s="63">
        <v>4500</v>
      </c>
      <c r="T75" s="63">
        <v>0</v>
      </c>
      <c r="U75" s="52">
        <v>4500</v>
      </c>
      <c r="V75" s="64">
        <v>0</v>
      </c>
      <c r="W75" s="64">
        <v>4500</v>
      </c>
      <c r="X75" s="6">
        <f t="shared" si="17"/>
        <v>0</v>
      </c>
      <c r="Y75" s="6">
        <f t="shared" si="18"/>
        <v>9000</v>
      </c>
      <c r="Z75" s="12">
        <f t="shared" si="19"/>
        <v>13500</v>
      </c>
      <c r="AA75" s="811">
        <v>0.2</v>
      </c>
      <c r="AB75" s="811">
        <v>4.3999999999999997E-2</v>
      </c>
      <c r="AC75" s="836">
        <f t="shared" si="20"/>
        <v>0</v>
      </c>
      <c r="AD75" s="836">
        <f t="shared" si="21"/>
        <v>0</v>
      </c>
      <c r="AE75" s="811">
        <v>0.2</v>
      </c>
      <c r="AF75" s="811">
        <v>9.459999999999999E-2</v>
      </c>
      <c r="AG75" s="836">
        <f t="shared" si="22"/>
        <v>0</v>
      </c>
      <c r="AH75" s="836">
        <f t="shared" si="23"/>
        <v>0</v>
      </c>
      <c r="AI75" s="794">
        <f t="shared" si="24"/>
        <v>0</v>
      </c>
      <c r="AJ75" s="794">
        <f t="shared" si="25"/>
        <v>0</v>
      </c>
      <c r="AK75" s="65">
        <v>7203047</v>
      </c>
      <c r="AL75" s="749">
        <v>2226060</v>
      </c>
      <c r="AM75" s="62">
        <f t="shared" si="16"/>
        <v>9429107</v>
      </c>
      <c r="AN75" s="158">
        <v>507036</v>
      </c>
      <c r="AO75" s="158">
        <v>507036</v>
      </c>
      <c r="AP75" s="595">
        <v>0</v>
      </c>
      <c r="AQ75" s="638">
        <v>1628337</v>
      </c>
      <c r="AR75" s="638">
        <v>1836471</v>
      </c>
      <c r="AS75" s="638">
        <v>1909930</v>
      </c>
      <c r="AT75" s="638">
        <v>1828309</v>
      </c>
      <c r="AU75" s="638">
        <v>85701</v>
      </c>
      <c r="AV75" s="638">
        <v>507033.36</v>
      </c>
      <c r="AW75" s="786">
        <v>524154</v>
      </c>
      <c r="AX75" s="720">
        <v>393115</v>
      </c>
      <c r="AY75" s="720">
        <v>131039</v>
      </c>
      <c r="AZ75" s="615">
        <v>1109174.2199999997</v>
      </c>
      <c r="BA75" s="668"/>
      <c r="BB75" s="668"/>
      <c r="BC75" s="668"/>
      <c r="BD75" s="668"/>
      <c r="BE75" s="668"/>
      <c r="BF75" s="182"/>
      <c r="BG75" s="182">
        <v>0</v>
      </c>
      <c r="BH75" s="182">
        <f>169012*3</f>
        <v>507036</v>
      </c>
      <c r="BI75" s="190">
        <f>169012*3</f>
        <v>507036</v>
      </c>
      <c r="BJ75" s="181">
        <f t="shared" si="26"/>
        <v>507036</v>
      </c>
    </row>
    <row r="76" spans="1:63" ht="195.75" thickBot="1" x14ac:dyDescent="0.25">
      <c r="A76" s="41">
        <v>75</v>
      </c>
      <c r="B76" s="16" t="s">
        <v>428</v>
      </c>
      <c r="C76" s="16" t="s">
        <v>429</v>
      </c>
      <c r="D76" s="16" t="s">
        <v>1023</v>
      </c>
      <c r="E76" s="16" t="s">
        <v>1238</v>
      </c>
      <c r="F76" s="16" t="s">
        <v>415</v>
      </c>
      <c r="G76" s="4" t="s">
        <v>520</v>
      </c>
      <c r="H76" s="636" t="s">
        <v>1411</v>
      </c>
      <c r="I76" s="16" t="s">
        <v>430</v>
      </c>
      <c r="J76" s="16" t="s">
        <v>992</v>
      </c>
      <c r="K76" s="12" t="s">
        <v>431</v>
      </c>
      <c r="L76" s="16" t="s">
        <v>10</v>
      </c>
      <c r="M76" s="45">
        <v>6</v>
      </c>
      <c r="N76" s="46">
        <v>0</v>
      </c>
      <c r="O76" s="46">
        <v>0</v>
      </c>
      <c r="P76" s="12" t="s">
        <v>189</v>
      </c>
      <c r="Q76" s="12" t="s">
        <v>521</v>
      </c>
      <c r="R76" s="16">
        <v>0</v>
      </c>
      <c r="S76" s="706">
        <v>2205</v>
      </c>
      <c r="T76" s="706">
        <v>0</v>
      </c>
      <c r="U76" s="40">
        <v>2205</v>
      </c>
      <c r="V76" s="707">
        <v>0</v>
      </c>
      <c r="W76" s="707">
        <v>2205</v>
      </c>
      <c r="X76" s="6">
        <f t="shared" si="17"/>
        <v>0</v>
      </c>
      <c r="Y76" s="6">
        <f t="shared" si="18"/>
        <v>4410</v>
      </c>
      <c r="Z76" s="12">
        <f t="shared" si="19"/>
        <v>6615</v>
      </c>
      <c r="AA76" s="811">
        <v>1</v>
      </c>
      <c r="AB76" s="811">
        <v>1</v>
      </c>
      <c r="AC76" s="836">
        <f t="shared" si="20"/>
        <v>0</v>
      </c>
      <c r="AD76" s="836">
        <f t="shared" si="21"/>
        <v>0</v>
      </c>
      <c r="AE76" s="811">
        <v>1</v>
      </c>
      <c r="AF76" s="811">
        <v>1</v>
      </c>
      <c r="AG76" s="836">
        <f t="shared" si="22"/>
        <v>0</v>
      </c>
      <c r="AH76" s="836">
        <f t="shared" si="23"/>
        <v>0</v>
      </c>
      <c r="AI76" s="794">
        <f t="shared" si="24"/>
        <v>0</v>
      </c>
      <c r="AJ76" s="794">
        <f t="shared" si="25"/>
        <v>0</v>
      </c>
      <c r="AK76" s="65">
        <v>7220391</v>
      </c>
      <c r="AL76" s="118">
        <v>3509030</v>
      </c>
      <c r="AM76" s="62">
        <f t="shared" si="16"/>
        <v>10729421</v>
      </c>
      <c r="AN76" s="77">
        <v>828432</v>
      </c>
      <c r="AO76" s="77">
        <v>828432</v>
      </c>
      <c r="AP76" s="171">
        <v>0</v>
      </c>
      <c r="AQ76" s="638">
        <v>811967</v>
      </c>
      <c r="AR76" s="638">
        <v>1430268</v>
      </c>
      <c r="AS76" s="638">
        <v>2322508</v>
      </c>
      <c r="AT76" s="638">
        <v>2655648</v>
      </c>
      <c r="AU76" s="638">
        <v>297538</v>
      </c>
      <c r="AV76" s="638">
        <v>828432.45571428572</v>
      </c>
      <c r="AW76" s="786">
        <v>1408876.5</v>
      </c>
      <c r="AX76" s="720">
        <v>1408876</v>
      </c>
      <c r="AY76" s="720">
        <v>0</v>
      </c>
      <c r="AZ76" s="615">
        <v>1443808.8985714284</v>
      </c>
      <c r="BA76" s="668"/>
      <c r="BB76" s="668"/>
      <c r="BC76" s="668"/>
      <c r="BD76" s="668"/>
      <c r="BE76" s="668"/>
      <c r="BF76" s="184"/>
      <c r="BG76" s="184">
        <v>0</v>
      </c>
      <c r="BH76" s="184">
        <v>828432</v>
      </c>
      <c r="BI76" s="181">
        <v>828432</v>
      </c>
      <c r="BJ76" s="181">
        <f t="shared" si="26"/>
        <v>828432</v>
      </c>
    </row>
    <row r="77" spans="1:63" ht="75.75" thickBot="1" x14ac:dyDescent="0.25">
      <c r="A77" s="41">
        <v>76</v>
      </c>
      <c r="B77" s="16" t="s">
        <v>428</v>
      </c>
      <c r="C77" s="16" t="s">
        <v>432</v>
      </c>
      <c r="D77" s="16" t="s">
        <v>1023</v>
      </c>
      <c r="E77" s="16" t="s">
        <v>1238</v>
      </c>
      <c r="F77" s="16" t="s">
        <v>434</v>
      </c>
      <c r="G77" s="4" t="s">
        <v>522</v>
      </c>
      <c r="H77" s="636" t="s">
        <v>1412</v>
      </c>
      <c r="I77" s="16" t="s">
        <v>433</v>
      </c>
      <c r="J77" s="16" t="s">
        <v>997</v>
      </c>
      <c r="K77" s="12" t="s">
        <v>435</v>
      </c>
      <c r="L77" s="16" t="s">
        <v>45</v>
      </c>
      <c r="M77" s="45">
        <v>2463</v>
      </c>
      <c r="N77" s="46">
        <v>803</v>
      </c>
      <c r="O77" s="51">
        <v>0.32602500000000001</v>
      </c>
      <c r="P77" s="12" t="s">
        <v>189</v>
      </c>
      <c r="Q77" s="12" t="s">
        <v>523</v>
      </c>
      <c r="R77" s="16">
        <v>0</v>
      </c>
      <c r="S77" s="16">
        <v>500</v>
      </c>
      <c r="T77" s="16">
        <v>0</v>
      </c>
      <c r="U77" s="12">
        <v>500</v>
      </c>
      <c r="V77" s="59">
        <v>0</v>
      </c>
      <c r="W77" s="59">
        <v>500</v>
      </c>
      <c r="X77" s="6">
        <f t="shared" si="17"/>
        <v>0</v>
      </c>
      <c r="Y77" s="6">
        <f t="shared" si="18"/>
        <v>1000</v>
      </c>
      <c r="Z77" s="12">
        <f t="shared" si="19"/>
        <v>1500</v>
      </c>
      <c r="AA77" s="811">
        <v>1</v>
      </c>
      <c r="AB77" s="811">
        <v>1</v>
      </c>
      <c r="AC77" s="836">
        <f t="shared" si="20"/>
        <v>0</v>
      </c>
      <c r="AD77" s="836">
        <f t="shared" si="21"/>
        <v>0</v>
      </c>
      <c r="AE77" s="811">
        <v>1</v>
      </c>
      <c r="AF77" s="811">
        <v>1</v>
      </c>
      <c r="AG77" s="836">
        <f t="shared" si="22"/>
        <v>0</v>
      </c>
      <c r="AH77" s="836">
        <f t="shared" si="23"/>
        <v>0</v>
      </c>
      <c r="AI77" s="794">
        <f t="shared" si="24"/>
        <v>0</v>
      </c>
      <c r="AJ77" s="794">
        <f t="shared" si="25"/>
        <v>0</v>
      </c>
      <c r="AK77" s="65">
        <v>3529434</v>
      </c>
      <c r="AL77" s="749">
        <v>3509030</v>
      </c>
      <c r="AM77" s="62">
        <f t="shared" si="16"/>
        <v>7038464</v>
      </c>
      <c r="AN77" s="77">
        <v>828432</v>
      </c>
      <c r="AO77" s="77">
        <v>828432</v>
      </c>
      <c r="AP77" s="171">
        <v>0</v>
      </c>
      <c r="AQ77" s="638">
        <v>1229483</v>
      </c>
      <c r="AR77" s="638">
        <v>1219274</v>
      </c>
      <c r="AS77" s="638">
        <v>637900</v>
      </c>
      <c r="AT77" s="638">
        <v>442777</v>
      </c>
      <c r="AU77" s="638">
        <v>297538.02</v>
      </c>
      <c r="AV77" s="638">
        <v>828432.45571428572</v>
      </c>
      <c r="AW77" s="786">
        <v>939250.557142857</v>
      </c>
      <c r="AX77" s="720">
        <v>939251</v>
      </c>
      <c r="AY77" s="720">
        <v>0</v>
      </c>
      <c r="AZ77" s="615">
        <v>1443808.8985714284</v>
      </c>
      <c r="BA77" s="668"/>
      <c r="BB77" s="668"/>
      <c r="BC77" s="668"/>
      <c r="BD77" s="668"/>
      <c r="BE77" s="668"/>
      <c r="BF77" s="184"/>
      <c r="BG77" s="184">
        <v>0</v>
      </c>
      <c r="BH77" s="184">
        <v>828432</v>
      </c>
      <c r="BI77" s="181">
        <v>828432</v>
      </c>
      <c r="BJ77" s="181">
        <f t="shared" si="26"/>
        <v>828432</v>
      </c>
    </row>
    <row r="78" spans="1:63" ht="105.75" thickBot="1" x14ac:dyDescent="0.25">
      <c r="A78" s="41">
        <v>77</v>
      </c>
      <c r="B78" s="16" t="s">
        <v>428</v>
      </c>
      <c r="C78" s="16" t="s">
        <v>436</v>
      </c>
      <c r="D78" s="16" t="s">
        <v>1023</v>
      </c>
      <c r="E78" s="16" t="s">
        <v>1238</v>
      </c>
      <c r="F78" s="16" t="s">
        <v>434</v>
      </c>
      <c r="G78" s="4" t="s">
        <v>524</v>
      </c>
      <c r="H78" s="636" t="s">
        <v>1413</v>
      </c>
      <c r="I78" s="29" t="s">
        <v>437</v>
      </c>
      <c r="J78" s="16" t="s">
        <v>997</v>
      </c>
      <c r="K78" s="12" t="s">
        <v>438</v>
      </c>
      <c r="L78" s="16" t="s">
        <v>45</v>
      </c>
      <c r="M78" s="45">
        <v>344</v>
      </c>
      <c r="N78" s="46">
        <v>18</v>
      </c>
      <c r="O78" s="51">
        <v>5.2325581000000003E-2</v>
      </c>
      <c r="P78" s="12" t="s">
        <v>189</v>
      </c>
      <c r="Q78" s="4" t="s">
        <v>525</v>
      </c>
      <c r="R78" s="16">
        <v>263</v>
      </c>
      <c r="S78" s="16">
        <v>13500</v>
      </c>
      <c r="T78" s="16">
        <v>263</v>
      </c>
      <c r="U78" s="12">
        <v>13500</v>
      </c>
      <c r="V78" s="59">
        <v>263</v>
      </c>
      <c r="W78" s="59">
        <v>13500</v>
      </c>
      <c r="X78" s="6">
        <f t="shared" si="17"/>
        <v>526</v>
      </c>
      <c r="Y78" s="6">
        <f t="shared" si="18"/>
        <v>27000</v>
      </c>
      <c r="Z78" s="12">
        <f t="shared" si="19"/>
        <v>40500</v>
      </c>
      <c r="AA78" s="811">
        <v>1</v>
      </c>
      <c r="AB78" s="811">
        <v>0.80400000000000005</v>
      </c>
      <c r="AC78" s="836">
        <f t="shared" si="20"/>
        <v>263</v>
      </c>
      <c r="AD78" s="836">
        <f t="shared" si="21"/>
        <v>211.45200000000003</v>
      </c>
      <c r="AE78" s="811">
        <v>1</v>
      </c>
      <c r="AF78" s="811">
        <v>0.80400000000000005</v>
      </c>
      <c r="AG78" s="836">
        <f t="shared" si="22"/>
        <v>263</v>
      </c>
      <c r="AH78" s="836">
        <f t="shared" si="23"/>
        <v>211.45200000000003</v>
      </c>
      <c r="AI78" s="794">
        <f t="shared" si="24"/>
        <v>526</v>
      </c>
      <c r="AJ78" s="794">
        <f t="shared" si="25"/>
        <v>422.90400000000005</v>
      </c>
      <c r="AK78" s="60">
        <v>14019189</v>
      </c>
      <c r="AL78" s="61">
        <v>7936492</v>
      </c>
      <c r="AM78" s="62">
        <f t="shared" si="16"/>
        <v>21955681</v>
      </c>
      <c r="AN78" s="123">
        <v>414216</v>
      </c>
      <c r="AO78" s="77">
        <v>828432</v>
      </c>
      <c r="AP78" s="171">
        <v>414216</v>
      </c>
      <c r="AQ78" s="638">
        <v>3503046</v>
      </c>
      <c r="AR78" s="638">
        <v>3505381</v>
      </c>
      <c r="AS78" s="638">
        <v>3505381</v>
      </c>
      <c r="AT78" s="638">
        <v>3505381</v>
      </c>
      <c r="AU78" s="638">
        <v>4725000</v>
      </c>
      <c r="AV78" s="638">
        <v>828432.45571428572</v>
      </c>
      <c r="AW78" s="786">
        <v>939250.557142857</v>
      </c>
      <c r="AX78" s="720">
        <v>939157</v>
      </c>
      <c r="AY78" s="720">
        <v>0</v>
      </c>
      <c r="AZ78" s="615">
        <v>1443808.8985714284</v>
      </c>
      <c r="BA78" s="668"/>
      <c r="BB78" s="668"/>
      <c r="BC78" s="668"/>
      <c r="BD78" s="668"/>
      <c r="BE78" s="668"/>
      <c r="BF78" s="184"/>
      <c r="BG78" s="184">
        <v>465267</v>
      </c>
      <c r="BH78" s="184">
        <v>414216</v>
      </c>
      <c r="BI78" s="181">
        <v>828432</v>
      </c>
      <c r="BJ78" s="181">
        <f>BG78+BH78</f>
        <v>879483</v>
      </c>
    </row>
    <row r="79" spans="1:63" ht="135.75" thickBot="1" x14ac:dyDescent="0.25">
      <c r="A79" s="41">
        <v>78</v>
      </c>
      <c r="B79" s="16" t="s">
        <v>428</v>
      </c>
      <c r="C79" s="16" t="s">
        <v>439</v>
      </c>
      <c r="D79" s="16" t="s">
        <v>1023</v>
      </c>
      <c r="E79" s="16" t="s">
        <v>1238</v>
      </c>
      <c r="F79" s="16" t="s">
        <v>415</v>
      </c>
      <c r="G79" s="4" t="s">
        <v>526</v>
      </c>
      <c r="H79" s="636" t="s">
        <v>1414</v>
      </c>
      <c r="I79" s="32" t="s">
        <v>440</v>
      </c>
      <c r="J79" s="7" t="s">
        <v>992</v>
      </c>
      <c r="K79" s="12" t="s">
        <v>441</v>
      </c>
      <c r="L79" s="16" t="s">
        <v>10</v>
      </c>
      <c r="M79" s="45">
        <v>160</v>
      </c>
      <c r="N79" s="46">
        <v>63</v>
      </c>
      <c r="O79" s="51">
        <v>0.39374999999999999</v>
      </c>
      <c r="P79" s="17" t="s">
        <v>111</v>
      </c>
      <c r="Q79" s="12" t="s">
        <v>527</v>
      </c>
      <c r="R79" s="16">
        <v>300</v>
      </c>
      <c r="S79" s="705">
        <v>1500</v>
      </c>
      <c r="T79" s="705">
        <v>300</v>
      </c>
      <c r="U79" s="27">
        <v>1500</v>
      </c>
      <c r="V79" s="66">
        <v>300</v>
      </c>
      <c r="W79" s="66">
        <v>1500</v>
      </c>
      <c r="X79" s="6">
        <f t="shared" si="17"/>
        <v>600</v>
      </c>
      <c r="Y79" s="6">
        <f t="shared" si="18"/>
        <v>3000</v>
      </c>
      <c r="Z79" s="12">
        <f t="shared" si="19"/>
        <v>4500</v>
      </c>
      <c r="AA79" s="811">
        <v>1</v>
      </c>
      <c r="AB79" s="811">
        <v>1</v>
      </c>
      <c r="AC79" s="836">
        <f t="shared" si="20"/>
        <v>300</v>
      </c>
      <c r="AD79" s="836">
        <f t="shared" si="21"/>
        <v>300</v>
      </c>
      <c r="AE79" s="811">
        <v>1</v>
      </c>
      <c r="AF79" s="811">
        <v>1</v>
      </c>
      <c r="AG79" s="836">
        <f t="shared" si="22"/>
        <v>300</v>
      </c>
      <c r="AH79" s="836">
        <f t="shared" si="23"/>
        <v>300</v>
      </c>
      <c r="AI79" s="794">
        <f t="shared" si="24"/>
        <v>600</v>
      </c>
      <c r="AJ79" s="794">
        <f t="shared" si="25"/>
        <v>600</v>
      </c>
      <c r="AK79" s="65">
        <v>6154291</v>
      </c>
      <c r="AL79" s="749">
        <v>3509030</v>
      </c>
      <c r="AM79" s="62">
        <f t="shared" si="16"/>
        <v>9663321</v>
      </c>
      <c r="AN79" s="77">
        <v>828432</v>
      </c>
      <c r="AO79" s="77">
        <v>828432</v>
      </c>
      <c r="AP79" s="171">
        <v>0</v>
      </c>
      <c r="AQ79" s="638">
        <v>1968111</v>
      </c>
      <c r="AR79" s="638">
        <v>880961</v>
      </c>
      <c r="AS79" s="638">
        <v>1383606</v>
      </c>
      <c r="AT79" s="638">
        <v>1921613</v>
      </c>
      <c r="AU79" s="638">
        <v>297538</v>
      </c>
      <c r="AV79" s="638">
        <v>828432.45571428572</v>
      </c>
      <c r="AW79" s="786">
        <v>469625.5</v>
      </c>
      <c r="AX79" s="720">
        <v>469625</v>
      </c>
      <c r="AY79" s="720">
        <v>0</v>
      </c>
      <c r="AZ79" s="615">
        <v>1443808.8985714284</v>
      </c>
      <c r="BA79" s="668"/>
      <c r="BB79" s="668"/>
      <c r="BC79" s="668"/>
      <c r="BD79" s="668"/>
      <c r="BE79" s="668"/>
      <c r="BF79" s="184"/>
      <c r="BG79" s="184">
        <v>0</v>
      </c>
      <c r="BH79" s="184">
        <v>828432</v>
      </c>
      <c r="BI79" s="181">
        <v>828432</v>
      </c>
      <c r="BJ79" s="181">
        <f t="shared" si="26"/>
        <v>828432</v>
      </c>
    </row>
    <row r="80" spans="1:63" ht="270.75" thickBot="1" x14ac:dyDescent="0.25">
      <c r="A80" s="41">
        <v>79</v>
      </c>
      <c r="B80" s="16" t="s">
        <v>428</v>
      </c>
      <c r="C80" s="16" t="s">
        <v>442</v>
      </c>
      <c r="D80" s="16" t="s">
        <v>1023</v>
      </c>
      <c r="E80" s="16" t="s">
        <v>1238</v>
      </c>
      <c r="F80" s="16" t="s">
        <v>434</v>
      </c>
      <c r="G80" s="4" t="s">
        <v>528</v>
      </c>
      <c r="H80" s="636" t="s">
        <v>1415</v>
      </c>
      <c r="I80" s="16" t="s">
        <v>443</v>
      </c>
      <c r="J80" s="16" t="s">
        <v>997</v>
      </c>
      <c r="K80" s="12" t="s">
        <v>435</v>
      </c>
      <c r="L80" s="16" t="s">
        <v>45</v>
      </c>
      <c r="M80" s="45">
        <v>14055</v>
      </c>
      <c r="N80" s="46">
        <v>1652</v>
      </c>
      <c r="O80" s="51">
        <v>0.117538</v>
      </c>
      <c r="P80" s="12" t="s">
        <v>189</v>
      </c>
      <c r="Q80" s="4" t="s">
        <v>529</v>
      </c>
      <c r="R80" s="16">
        <v>0</v>
      </c>
      <c r="S80" s="16">
        <v>14055</v>
      </c>
      <c r="T80" s="16">
        <v>0</v>
      </c>
      <c r="U80" s="12">
        <v>14055</v>
      </c>
      <c r="V80" s="12">
        <v>0</v>
      </c>
      <c r="W80" s="21">
        <v>14055</v>
      </c>
      <c r="X80" s="6">
        <f t="shared" si="17"/>
        <v>0</v>
      </c>
      <c r="Y80" s="6">
        <f t="shared" si="18"/>
        <v>28110</v>
      </c>
      <c r="Z80" s="12">
        <f t="shared" si="19"/>
        <v>42165</v>
      </c>
      <c r="AA80" s="811">
        <v>1</v>
      </c>
      <c r="AB80" s="811">
        <v>1</v>
      </c>
      <c r="AC80" s="836">
        <f t="shared" si="20"/>
        <v>0</v>
      </c>
      <c r="AD80" s="836">
        <f t="shared" si="21"/>
        <v>0</v>
      </c>
      <c r="AE80" s="811">
        <v>1</v>
      </c>
      <c r="AF80" s="811">
        <v>1</v>
      </c>
      <c r="AG80" s="836">
        <f t="shared" si="22"/>
        <v>0</v>
      </c>
      <c r="AH80" s="836">
        <f t="shared" si="23"/>
        <v>0</v>
      </c>
      <c r="AI80" s="794">
        <f t="shared" si="24"/>
        <v>0</v>
      </c>
      <c r="AJ80" s="794">
        <f t="shared" si="25"/>
        <v>0</v>
      </c>
      <c r="AK80" s="60">
        <v>4887399.13</v>
      </c>
      <c r="AL80" s="61">
        <v>3246304</v>
      </c>
      <c r="AM80" s="62">
        <f t="shared" si="16"/>
        <v>8133703.1299999999</v>
      </c>
      <c r="AN80" s="77">
        <v>828432</v>
      </c>
      <c r="AO80" s="77">
        <v>828432</v>
      </c>
      <c r="AP80" s="171">
        <v>0</v>
      </c>
      <c r="AQ80" s="638">
        <v>1183593.6000000001</v>
      </c>
      <c r="AR80" s="638">
        <v>1205241.4099999999</v>
      </c>
      <c r="AS80" s="638">
        <v>1234311.1499999999</v>
      </c>
      <c r="AT80" s="638">
        <v>1264252.97</v>
      </c>
      <c r="AU80" s="638">
        <v>34812</v>
      </c>
      <c r="AV80" s="638">
        <v>828432.45571428572</v>
      </c>
      <c r="AW80" s="786">
        <v>939251</v>
      </c>
      <c r="AX80" s="720">
        <v>939251</v>
      </c>
      <c r="AY80" s="720">
        <v>0</v>
      </c>
      <c r="AZ80" s="640">
        <v>1443808.8985714284</v>
      </c>
      <c r="BA80" s="668"/>
      <c r="BB80" s="668"/>
      <c r="BC80" s="668"/>
      <c r="BD80" s="668"/>
      <c r="BE80" s="668"/>
      <c r="BF80" s="184"/>
      <c r="BG80" s="184">
        <v>0</v>
      </c>
      <c r="BH80" s="184">
        <v>828432</v>
      </c>
      <c r="BI80" s="181">
        <v>828432</v>
      </c>
      <c r="BJ80" s="181">
        <f t="shared" si="26"/>
        <v>828432</v>
      </c>
    </row>
    <row r="81" spans="1:62" ht="150.75" thickBot="1" x14ac:dyDescent="0.25">
      <c r="A81" s="41">
        <v>80</v>
      </c>
      <c r="B81" s="16" t="s">
        <v>444</v>
      </c>
      <c r="C81" s="16" t="s">
        <v>445</v>
      </c>
      <c r="D81" s="16" t="s">
        <v>397</v>
      </c>
      <c r="E81" s="16" t="s">
        <v>1240</v>
      </c>
      <c r="F81" s="16" t="s">
        <v>1020</v>
      </c>
      <c r="G81" s="4" t="s">
        <v>530</v>
      </c>
      <c r="H81" s="636" t="s">
        <v>1416</v>
      </c>
      <c r="I81" s="613" t="s">
        <v>1508</v>
      </c>
      <c r="J81" s="601" t="s">
        <v>1391</v>
      </c>
      <c r="K81" s="601" t="s">
        <v>1391</v>
      </c>
      <c r="L81" s="613" t="s">
        <v>1391</v>
      </c>
      <c r="M81" s="601" t="s">
        <v>1391</v>
      </c>
      <c r="N81" s="601" t="s">
        <v>1391</v>
      </c>
      <c r="O81" s="601" t="s">
        <v>1391</v>
      </c>
      <c r="P81" s="601" t="s">
        <v>189</v>
      </c>
      <c r="Q81" s="12" t="s">
        <v>531</v>
      </c>
      <c r="R81" s="16">
        <v>0</v>
      </c>
      <c r="S81" s="16">
        <v>1500</v>
      </c>
      <c r="T81" s="16">
        <v>0</v>
      </c>
      <c r="U81" s="12">
        <v>1500</v>
      </c>
      <c r="V81" s="59">
        <v>0</v>
      </c>
      <c r="W81" s="59">
        <v>1500</v>
      </c>
      <c r="X81" s="6">
        <f t="shared" si="17"/>
        <v>0</v>
      </c>
      <c r="Y81" s="6">
        <f t="shared" si="18"/>
        <v>3000</v>
      </c>
      <c r="Z81" s="12">
        <f t="shared" si="19"/>
        <v>4500</v>
      </c>
      <c r="AA81" s="811">
        <v>0.14000000000000001</v>
      </c>
      <c r="AB81" s="811">
        <v>0.1827</v>
      </c>
      <c r="AC81" s="836">
        <f t="shared" si="20"/>
        <v>0</v>
      </c>
      <c r="AD81" s="836">
        <f t="shared" si="21"/>
        <v>0</v>
      </c>
      <c r="AE81" s="811">
        <v>0.14000000000000001</v>
      </c>
      <c r="AF81" s="811">
        <v>0.2087</v>
      </c>
      <c r="AG81" s="836">
        <f t="shared" si="22"/>
        <v>0</v>
      </c>
      <c r="AH81" s="836">
        <f t="shared" si="23"/>
        <v>0</v>
      </c>
      <c r="AI81" s="794">
        <f t="shared" si="24"/>
        <v>0</v>
      </c>
      <c r="AJ81" s="794">
        <f t="shared" si="25"/>
        <v>0</v>
      </c>
      <c r="AK81" s="60">
        <v>12528711</v>
      </c>
      <c r="AL81" s="61">
        <v>5033864</v>
      </c>
      <c r="AM81" s="62">
        <f t="shared" si="16"/>
        <v>17562575</v>
      </c>
      <c r="AN81" s="77">
        <v>740398</v>
      </c>
      <c r="AO81" s="77">
        <v>740398</v>
      </c>
      <c r="AP81" s="596">
        <v>0</v>
      </c>
      <c r="AQ81" s="638">
        <v>3061289</v>
      </c>
      <c r="AR81" s="638">
        <v>3351372</v>
      </c>
      <c r="AS81" s="638">
        <v>3361488</v>
      </c>
      <c r="AT81" s="638">
        <v>2754562</v>
      </c>
      <c r="AU81" s="638">
        <v>784808</v>
      </c>
      <c r="AV81" s="638">
        <v>740397.75</v>
      </c>
      <c r="AW81" s="786">
        <v>1096469.25</v>
      </c>
      <c r="AX81" s="720">
        <v>0</v>
      </c>
      <c r="AY81" s="720">
        <v>1096469</v>
      </c>
      <c r="AZ81" s="640">
        <v>2412189</v>
      </c>
      <c r="BA81" s="668"/>
      <c r="BB81" s="668"/>
      <c r="BC81" s="668"/>
      <c r="BD81" s="668"/>
      <c r="BE81" s="668"/>
      <c r="BF81" s="184"/>
      <c r="BG81" s="184">
        <v>0</v>
      </c>
      <c r="BH81" s="184">
        <v>740398</v>
      </c>
      <c r="BI81" s="181">
        <v>740398</v>
      </c>
      <c r="BJ81" s="181">
        <f t="shared" si="26"/>
        <v>740398</v>
      </c>
    </row>
    <row r="82" spans="1:62" ht="180.75" thickBot="1" x14ac:dyDescent="0.25">
      <c r="A82" s="42">
        <v>81</v>
      </c>
      <c r="B82" s="2" t="s">
        <v>444</v>
      </c>
      <c r="C82" s="2" t="s">
        <v>446</v>
      </c>
      <c r="D82" s="2" t="s">
        <v>397</v>
      </c>
      <c r="E82" s="2" t="s">
        <v>1240</v>
      </c>
      <c r="F82" s="2" t="s">
        <v>407</v>
      </c>
      <c r="G82" s="4" t="s">
        <v>532</v>
      </c>
      <c r="H82" s="636" t="s">
        <v>1417</v>
      </c>
      <c r="I82" s="648" t="s">
        <v>447</v>
      </c>
      <c r="J82" s="601" t="s">
        <v>1392</v>
      </c>
      <c r="K82" s="601" t="s">
        <v>1392</v>
      </c>
      <c r="L82" s="648" t="s">
        <v>1392</v>
      </c>
      <c r="M82" s="601" t="s">
        <v>1392</v>
      </c>
      <c r="N82" s="601" t="s">
        <v>1392</v>
      </c>
      <c r="O82" s="601" t="s">
        <v>1392</v>
      </c>
      <c r="P82" s="601" t="s">
        <v>189</v>
      </c>
      <c r="Q82" s="3" t="s">
        <v>533</v>
      </c>
      <c r="R82" s="2">
        <v>1463</v>
      </c>
      <c r="S82" s="2">
        <v>6532</v>
      </c>
      <c r="T82" s="2">
        <v>1463</v>
      </c>
      <c r="U82" s="3">
        <v>6532</v>
      </c>
      <c r="V82" s="44">
        <v>1463</v>
      </c>
      <c r="W82" s="44">
        <v>6532</v>
      </c>
      <c r="X82" s="6">
        <f t="shared" si="17"/>
        <v>2926</v>
      </c>
      <c r="Y82" s="6">
        <f t="shared" si="18"/>
        <v>13064</v>
      </c>
      <c r="Z82" s="12">
        <f t="shared" si="19"/>
        <v>19596</v>
      </c>
      <c r="AA82" s="811">
        <v>0.14000000000000001</v>
      </c>
      <c r="AB82" s="811">
        <v>0.79879999999999995</v>
      </c>
      <c r="AC82" s="836">
        <f t="shared" si="20"/>
        <v>204.82000000000002</v>
      </c>
      <c r="AD82" s="836">
        <f t="shared" si="21"/>
        <v>1168.6443999999999</v>
      </c>
      <c r="AE82" s="811">
        <v>0.14000000000000001</v>
      </c>
      <c r="AF82" s="811">
        <v>0.57100000000000006</v>
      </c>
      <c r="AG82" s="836">
        <f t="shared" si="22"/>
        <v>204.82000000000002</v>
      </c>
      <c r="AH82" s="836">
        <f t="shared" si="23"/>
        <v>835.37300000000005</v>
      </c>
      <c r="AI82" s="794">
        <f t="shared" si="24"/>
        <v>409.64000000000004</v>
      </c>
      <c r="AJ82" s="794">
        <f t="shared" si="25"/>
        <v>2004.0174</v>
      </c>
      <c r="AK82" s="60">
        <v>3216809</v>
      </c>
      <c r="AL82" s="61">
        <v>1506950</v>
      </c>
      <c r="AM82" s="62">
        <f t="shared" si="16"/>
        <v>4723759</v>
      </c>
      <c r="AN82" s="127">
        <v>123400</v>
      </c>
      <c r="AO82" s="77">
        <v>246800</v>
      </c>
      <c r="AP82" s="171">
        <v>123400</v>
      </c>
      <c r="AQ82" s="638">
        <v>770079</v>
      </c>
      <c r="AR82" s="638">
        <v>858619</v>
      </c>
      <c r="AS82" s="638">
        <v>871075</v>
      </c>
      <c r="AT82" s="638">
        <v>717036</v>
      </c>
      <c r="AU82" s="638">
        <v>90598</v>
      </c>
      <c r="AV82" s="638">
        <v>246799.25</v>
      </c>
      <c r="AW82" s="786">
        <v>365489.75</v>
      </c>
      <c r="AX82" s="720">
        <v>365490</v>
      </c>
      <c r="AY82" s="720">
        <v>0</v>
      </c>
      <c r="AZ82" s="640">
        <v>804063</v>
      </c>
      <c r="BA82" s="668"/>
      <c r="BB82" s="668"/>
      <c r="BC82" s="668"/>
      <c r="BD82" s="668"/>
      <c r="BE82" s="668"/>
      <c r="BF82" s="184"/>
      <c r="BG82" s="184">
        <v>0</v>
      </c>
      <c r="BH82" s="184">
        <v>123400</v>
      </c>
      <c r="BI82" s="245">
        <v>246800</v>
      </c>
      <c r="BJ82" s="245">
        <f t="shared" si="26"/>
        <v>123400</v>
      </c>
    </row>
    <row r="83" spans="1:62" ht="150.75" thickBot="1" x14ac:dyDescent="0.25">
      <c r="A83" s="41">
        <v>82</v>
      </c>
      <c r="B83" s="16" t="s">
        <v>351</v>
      </c>
      <c r="C83" s="16" t="s">
        <v>449</v>
      </c>
      <c r="D83" s="16" t="s">
        <v>397</v>
      </c>
      <c r="E83" s="16" t="s">
        <v>1239</v>
      </c>
      <c r="F83" s="16" t="s">
        <v>1025</v>
      </c>
      <c r="G83" s="4" t="s">
        <v>534</v>
      </c>
      <c r="H83" s="636" t="s">
        <v>1418</v>
      </c>
      <c r="I83" s="16" t="s">
        <v>450</v>
      </c>
      <c r="J83" s="16" t="s">
        <v>992</v>
      </c>
      <c r="K83" s="16" t="s">
        <v>451</v>
      </c>
      <c r="L83" s="16" t="s">
        <v>10</v>
      </c>
      <c r="M83" s="242" t="s">
        <v>34</v>
      </c>
      <c r="N83" s="242" t="s">
        <v>34</v>
      </c>
      <c r="O83" s="242" t="s">
        <v>34</v>
      </c>
      <c r="P83" s="12" t="s">
        <v>189</v>
      </c>
      <c r="Q83" s="12" t="s">
        <v>535</v>
      </c>
      <c r="R83" s="16">
        <v>0</v>
      </c>
      <c r="S83" s="63">
        <v>3712</v>
      </c>
      <c r="T83" s="63">
        <v>0</v>
      </c>
      <c r="U83" s="52">
        <v>3712</v>
      </c>
      <c r="V83" s="64">
        <v>0</v>
      </c>
      <c r="W83" s="64">
        <v>3712</v>
      </c>
      <c r="X83" s="6">
        <f t="shared" si="17"/>
        <v>0</v>
      </c>
      <c r="Y83" s="6">
        <f t="shared" si="18"/>
        <v>7424</v>
      </c>
      <c r="Z83" s="12">
        <f t="shared" si="19"/>
        <v>11136</v>
      </c>
      <c r="AA83" s="811">
        <v>0</v>
      </c>
      <c r="AB83" s="811" t="s">
        <v>1553</v>
      </c>
      <c r="AC83" s="836">
        <f t="shared" si="20"/>
        <v>0</v>
      </c>
      <c r="AD83" s="836">
        <v>0</v>
      </c>
      <c r="AE83" s="811">
        <v>0.33</v>
      </c>
      <c r="AF83" s="811">
        <v>0.30830000000000002</v>
      </c>
      <c r="AG83" s="836">
        <f t="shared" si="22"/>
        <v>0</v>
      </c>
      <c r="AH83" s="836">
        <f t="shared" si="23"/>
        <v>0</v>
      </c>
      <c r="AI83" s="794">
        <f t="shared" si="24"/>
        <v>0</v>
      </c>
      <c r="AJ83" s="794">
        <f t="shared" si="25"/>
        <v>0</v>
      </c>
      <c r="AK83" s="60">
        <v>3602978.5859376453</v>
      </c>
      <c r="AL83" s="61">
        <v>1023381</v>
      </c>
      <c r="AM83" s="62">
        <f t="shared" si="16"/>
        <v>4626359.5859376453</v>
      </c>
      <c r="AN83" s="77">
        <v>86228</v>
      </c>
      <c r="AO83" s="77">
        <v>172456</v>
      </c>
      <c r="AP83" s="596">
        <v>86228</v>
      </c>
      <c r="AQ83" s="638">
        <v>881160.79155196506</v>
      </c>
      <c r="AR83" s="638">
        <v>961299.1</v>
      </c>
      <c r="AS83" s="638">
        <v>964093.57</v>
      </c>
      <c r="AT83" s="638">
        <v>796425.12</v>
      </c>
      <c r="AU83" s="638">
        <v>66062</v>
      </c>
      <c r="AV83" s="638">
        <v>172455.87200000961</v>
      </c>
      <c r="AW83" s="786">
        <v>309356.5</v>
      </c>
      <c r="AX83" s="720">
        <v>309357</v>
      </c>
      <c r="AY83" s="720">
        <v>0</v>
      </c>
      <c r="AZ83" s="640">
        <v>534244.73700799595</v>
      </c>
      <c r="BA83" s="668"/>
      <c r="BB83" s="668"/>
      <c r="BC83" s="668"/>
      <c r="BD83" s="668"/>
      <c r="BE83" s="668"/>
      <c r="BF83" s="184"/>
      <c r="BG83" s="184">
        <v>90495</v>
      </c>
      <c r="BH83" s="184">
        <v>86228</v>
      </c>
      <c r="BI83" s="181">
        <v>172456</v>
      </c>
      <c r="BJ83" s="181">
        <f>BG83+BH83</f>
        <v>176723</v>
      </c>
    </row>
    <row r="84" spans="1:62" ht="75.75" thickBot="1" x14ac:dyDescent="0.25">
      <c r="A84" s="41">
        <v>83</v>
      </c>
      <c r="B84" s="16" t="s">
        <v>351</v>
      </c>
      <c r="C84" s="16" t="s">
        <v>452</v>
      </c>
      <c r="D84" s="16" t="s">
        <v>1023</v>
      </c>
      <c r="E84" s="16" t="s">
        <v>1237</v>
      </c>
      <c r="F84" s="16" t="s">
        <v>75</v>
      </c>
      <c r="G84" s="4" t="s">
        <v>536</v>
      </c>
      <c r="H84" s="636" t="s">
        <v>1419</v>
      </c>
      <c r="I84" s="16" t="s">
        <v>453</v>
      </c>
      <c r="J84" s="16" t="s">
        <v>992</v>
      </c>
      <c r="K84" s="16" t="s">
        <v>454</v>
      </c>
      <c r="L84" s="16" t="s">
        <v>10</v>
      </c>
      <c r="M84" s="45">
        <v>159</v>
      </c>
      <c r="N84" s="46">
        <v>84</v>
      </c>
      <c r="O84" s="51">
        <v>0.52830200000000005</v>
      </c>
      <c r="P84" s="12" t="s">
        <v>189</v>
      </c>
      <c r="Q84" s="12" t="s">
        <v>537</v>
      </c>
      <c r="R84" s="16">
        <v>0</v>
      </c>
      <c r="S84" s="16">
        <v>97</v>
      </c>
      <c r="T84" s="16">
        <v>0</v>
      </c>
      <c r="U84" s="12">
        <v>97</v>
      </c>
      <c r="V84" s="59">
        <v>0</v>
      </c>
      <c r="W84" s="59">
        <v>97</v>
      </c>
      <c r="X84" s="6">
        <f t="shared" si="17"/>
        <v>0</v>
      </c>
      <c r="Y84" s="6">
        <f t="shared" si="18"/>
        <v>194</v>
      </c>
      <c r="Z84" s="12">
        <f t="shared" si="19"/>
        <v>291</v>
      </c>
      <c r="AA84" s="811">
        <v>0</v>
      </c>
      <c r="AB84" s="811" t="s">
        <v>1553</v>
      </c>
      <c r="AC84" s="836">
        <f t="shared" si="20"/>
        <v>0</v>
      </c>
      <c r="AD84" s="836">
        <v>0</v>
      </c>
      <c r="AE84" s="811">
        <v>0.33</v>
      </c>
      <c r="AF84" s="811">
        <v>0.9002</v>
      </c>
      <c r="AG84" s="836">
        <f t="shared" si="22"/>
        <v>0</v>
      </c>
      <c r="AH84" s="836">
        <f t="shared" si="23"/>
        <v>0</v>
      </c>
      <c r="AI84" s="794">
        <f t="shared" si="24"/>
        <v>0</v>
      </c>
      <c r="AJ84" s="794">
        <f t="shared" si="25"/>
        <v>0</v>
      </c>
      <c r="AK84" s="60">
        <v>2180264</v>
      </c>
      <c r="AL84" s="61">
        <v>1018724</v>
      </c>
      <c r="AM84" s="62">
        <f t="shared" si="16"/>
        <v>3198988</v>
      </c>
      <c r="AN84" s="77">
        <v>172456</v>
      </c>
      <c r="AO84" s="77">
        <v>172456</v>
      </c>
      <c r="AP84" s="171">
        <v>0</v>
      </c>
      <c r="AQ84" s="638">
        <v>521939</v>
      </c>
      <c r="AR84" s="638">
        <v>581948</v>
      </c>
      <c r="AS84" s="638">
        <v>590390</v>
      </c>
      <c r="AT84" s="638">
        <v>485987</v>
      </c>
      <c r="AU84" s="638">
        <v>61404.9</v>
      </c>
      <c r="AV84" s="638">
        <v>172455.87200000961</v>
      </c>
      <c r="AW84" s="786">
        <v>250617.71159999742</v>
      </c>
      <c r="AX84" s="720">
        <v>250618</v>
      </c>
      <c r="AY84" s="720">
        <v>0</v>
      </c>
      <c r="AZ84" s="640">
        <v>534244.73700799595</v>
      </c>
      <c r="BA84" s="668"/>
      <c r="BB84" s="668"/>
      <c r="BC84" s="668"/>
      <c r="BD84" s="668"/>
      <c r="BE84" s="668"/>
      <c r="BF84" s="184"/>
      <c r="BG84" s="184">
        <v>0</v>
      </c>
      <c r="BH84" s="184">
        <v>172456</v>
      </c>
      <c r="BI84" s="181">
        <v>172456</v>
      </c>
      <c r="BJ84" s="181">
        <f t="shared" si="26"/>
        <v>172456</v>
      </c>
    </row>
    <row r="85" spans="1:62" ht="240.75" thickBot="1" x14ac:dyDescent="0.25">
      <c r="A85" s="41">
        <v>84</v>
      </c>
      <c r="B85" s="16" t="s">
        <v>351</v>
      </c>
      <c r="C85" s="16" t="s">
        <v>455</v>
      </c>
      <c r="D85" s="16" t="s">
        <v>1023</v>
      </c>
      <c r="E85" s="16" t="s">
        <v>1237</v>
      </c>
      <c r="F85" s="16" t="s">
        <v>75</v>
      </c>
      <c r="G85" s="4" t="s">
        <v>538</v>
      </c>
      <c r="H85" s="636" t="s">
        <v>1420</v>
      </c>
      <c r="I85" s="16" t="s">
        <v>456</v>
      </c>
      <c r="J85" s="16" t="s">
        <v>992</v>
      </c>
      <c r="K85" s="16" t="s">
        <v>457</v>
      </c>
      <c r="L85" s="16" t="s">
        <v>10</v>
      </c>
      <c r="M85" s="241" t="s">
        <v>34</v>
      </c>
      <c r="N85" s="241" t="s">
        <v>34</v>
      </c>
      <c r="O85" s="241" t="s">
        <v>34</v>
      </c>
      <c r="P85" s="12" t="s">
        <v>189</v>
      </c>
      <c r="Q85" s="12" t="s">
        <v>490</v>
      </c>
      <c r="R85" s="16">
        <v>0</v>
      </c>
      <c r="S85" s="63">
        <v>1083</v>
      </c>
      <c r="T85" s="63">
        <v>0</v>
      </c>
      <c r="U85" s="52">
        <v>1083</v>
      </c>
      <c r="V85" s="64">
        <v>0</v>
      </c>
      <c r="W85" s="64">
        <v>1083</v>
      </c>
      <c r="X85" s="6">
        <f t="shared" si="17"/>
        <v>0</v>
      </c>
      <c r="Y85" s="6">
        <f t="shared" si="18"/>
        <v>2166</v>
      </c>
      <c r="Z85" s="12">
        <f t="shared" si="19"/>
        <v>3249</v>
      </c>
      <c r="AA85" s="811">
        <v>0</v>
      </c>
      <c r="AB85" s="811" t="s">
        <v>1553</v>
      </c>
      <c r="AC85" s="836">
        <f t="shared" si="20"/>
        <v>0</v>
      </c>
      <c r="AD85" s="836">
        <v>0</v>
      </c>
      <c r="AE85" s="811">
        <v>0.33</v>
      </c>
      <c r="AF85" s="811">
        <v>0.26629999999999998</v>
      </c>
      <c r="AG85" s="836">
        <f t="shared" si="22"/>
        <v>0</v>
      </c>
      <c r="AH85" s="836">
        <f t="shared" si="23"/>
        <v>0</v>
      </c>
      <c r="AI85" s="794">
        <f t="shared" si="24"/>
        <v>0</v>
      </c>
      <c r="AJ85" s="794">
        <f t="shared" si="25"/>
        <v>0</v>
      </c>
      <c r="AK85" s="60">
        <v>6459976</v>
      </c>
      <c r="AL85" s="61">
        <v>1151798</v>
      </c>
      <c r="AM85" s="62">
        <f t="shared" si="16"/>
        <v>7611774</v>
      </c>
      <c r="AN85" s="127">
        <v>87575</v>
      </c>
      <c r="AO85" s="77">
        <v>175150</v>
      </c>
      <c r="AP85" s="171">
        <v>87575</v>
      </c>
      <c r="AQ85" s="638">
        <v>1525937</v>
      </c>
      <c r="AR85" s="638">
        <v>1720986</v>
      </c>
      <c r="AS85" s="638">
        <v>1763114</v>
      </c>
      <c r="AT85" s="638">
        <v>1449939</v>
      </c>
      <c r="AU85" s="638">
        <v>179522.1</v>
      </c>
      <c r="AV85" s="638">
        <v>175150.49500000975</v>
      </c>
      <c r="AW85" s="786">
        <v>254533.61334374736</v>
      </c>
      <c r="AX85" s="720">
        <v>254534</v>
      </c>
      <c r="AY85" s="720">
        <v>0</v>
      </c>
      <c r="AZ85" s="640">
        <v>542592.31102374592</v>
      </c>
      <c r="BA85" s="668"/>
      <c r="BB85" s="668"/>
      <c r="BC85" s="668"/>
      <c r="BD85" s="668"/>
      <c r="BE85" s="668"/>
      <c r="BF85" s="184"/>
      <c r="BG85" s="184">
        <v>91909</v>
      </c>
      <c r="BH85" s="184">
        <v>87575</v>
      </c>
      <c r="BI85" s="181">
        <v>175150</v>
      </c>
      <c r="BJ85" s="181">
        <f t="shared" si="26"/>
        <v>179484</v>
      </c>
    </row>
    <row r="86" spans="1:62" ht="90.75" thickBot="1" x14ac:dyDescent="0.25">
      <c r="A86" s="42">
        <v>85</v>
      </c>
      <c r="B86" s="2" t="s">
        <v>458</v>
      </c>
      <c r="C86" s="2" t="s">
        <v>459</v>
      </c>
      <c r="D86" s="2" t="s">
        <v>759</v>
      </c>
      <c r="E86" s="2" t="s">
        <v>1228</v>
      </c>
      <c r="F86" s="2" t="s">
        <v>862</v>
      </c>
      <c r="G86" s="4" t="s">
        <v>539</v>
      </c>
      <c r="H86" s="636" t="s">
        <v>1421</v>
      </c>
      <c r="I86" s="58" t="s">
        <v>1075</v>
      </c>
      <c r="J86" s="2" t="s">
        <v>1002</v>
      </c>
      <c r="K86" s="2" t="s">
        <v>460</v>
      </c>
      <c r="L86" s="2" t="s">
        <v>63</v>
      </c>
      <c r="M86" s="50" t="s">
        <v>1057</v>
      </c>
      <c r="N86" s="50" t="s">
        <v>1057</v>
      </c>
      <c r="O86" s="50" t="s">
        <v>1057</v>
      </c>
      <c r="P86" s="3" t="s">
        <v>111</v>
      </c>
      <c r="Q86" s="3" t="s">
        <v>540</v>
      </c>
      <c r="R86" s="2">
        <v>0</v>
      </c>
      <c r="S86" s="2">
        <v>3000</v>
      </c>
      <c r="T86" s="2">
        <v>0</v>
      </c>
      <c r="U86" s="3">
        <v>3000</v>
      </c>
      <c r="V86" s="44">
        <v>0</v>
      </c>
      <c r="W86" s="44">
        <v>3000</v>
      </c>
      <c r="X86" s="6">
        <f t="shared" si="17"/>
        <v>0</v>
      </c>
      <c r="Y86" s="6">
        <f t="shared" si="18"/>
        <v>6000</v>
      </c>
      <c r="Z86" s="12">
        <f t="shared" si="19"/>
        <v>9000</v>
      </c>
      <c r="AA86" s="811">
        <v>0</v>
      </c>
      <c r="AB86" s="811" t="s">
        <v>1553</v>
      </c>
      <c r="AC86" s="836">
        <f t="shared" si="20"/>
        <v>0</v>
      </c>
      <c r="AD86" s="836">
        <v>0</v>
      </c>
      <c r="AE86" s="811">
        <v>0.86</v>
      </c>
      <c r="AF86" s="811">
        <v>0.32190000000000002</v>
      </c>
      <c r="AG86" s="836">
        <f t="shared" si="22"/>
        <v>0</v>
      </c>
      <c r="AH86" s="836">
        <f t="shared" si="23"/>
        <v>0</v>
      </c>
      <c r="AI86" s="794">
        <f t="shared" si="24"/>
        <v>0</v>
      </c>
      <c r="AJ86" s="794">
        <f t="shared" si="25"/>
        <v>0</v>
      </c>
      <c r="AK86" s="60">
        <v>4277533</v>
      </c>
      <c r="AL86" s="61">
        <v>740313</v>
      </c>
      <c r="AM86" s="62">
        <f t="shared" si="16"/>
        <v>5017846</v>
      </c>
      <c r="AN86" s="158">
        <v>35736</v>
      </c>
      <c r="AO86" s="158">
        <v>83384.5</v>
      </c>
      <c r="AP86" s="594">
        <v>47648</v>
      </c>
      <c r="AQ86" s="638">
        <v>1046133</v>
      </c>
      <c r="AR86" s="638">
        <v>1141275</v>
      </c>
      <c r="AS86" s="638">
        <v>1144593</v>
      </c>
      <c r="AT86" s="638">
        <v>945532</v>
      </c>
      <c r="AU86" s="638">
        <v>123074</v>
      </c>
      <c r="AV86" s="638">
        <v>95296.8</v>
      </c>
      <c r="AW86" s="786">
        <v>154094</v>
      </c>
      <c r="AX86" s="720">
        <v>0</v>
      </c>
      <c r="AY86" s="720">
        <v>154096</v>
      </c>
      <c r="AZ86" s="640">
        <v>367848.8</v>
      </c>
      <c r="BA86" s="668"/>
      <c r="BB86" s="668"/>
      <c r="BC86" s="668"/>
      <c r="BD86" s="668"/>
      <c r="BE86" s="668"/>
      <c r="BF86" s="182"/>
      <c r="BG86" s="182">
        <v>0</v>
      </c>
      <c r="BH86" s="183">
        <v>35736</v>
      </c>
      <c r="BI86" s="244">
        <f>71473+23824</f>
        <v>95297</v>
      </c>
      <c r="BJ86" s="245">
        <f t="shared" si="26"/>
        <v>35736</v>
      </c>
    </row>
    <row r="87" spans="1:62" ht="165.75" thickBot="1" x14ac:dyDescent="0.25">
      <c r="A87" s="41">
        <v>86</v>
      </c>
      <c r="B87" s="16" t="s">
        <v>266</v>
      </c>
      <c r="C87" s="16" t="s">
        <v>461</v>
      </c>
      <c r="D87" s="16" t="s">
        <v>397</v>
      </c>
      <c r="E87" s="16" t="s">
        <v>1239</v>
      </c>
      <c r="F87" s="16" t="s">
        <v>1025</v>
      </c>
      <c r="G87" s="12" t="s">
        <v>541</v>
      </c>
      <c r="H87" s="636" t="s">
        <v>1422</v>
      </c>
      <c r="I87" s="16" t="s">
        <v>462</v>
      </c>
      <c r="J87" s="16" t="s">
        <v>992</v>
      </c>
      <c r="K87" s="16" t="s">
        <v>457</v>
      </c>
      <c r="L87" s="16" t="s">
        <v>10</v>
      </c>
      <c r="M87" s="45">
        <v>22.4</v>
      </c>
      <c r="N87" s="46">
        <v>23.9</v>
      </c>
      <c r="O87" s="51">
        <v>1.066964</v>
      </c>
      <c r="P87" s="12" t="s">
        <v>189</v>
      </c>
      <c r="Q87" s="12" t="s">
        <v>542</v>
      </c>
      <c r="R87" s="16">
        <v>0</v>
      </c>
      <c r="S87" s="706">
        <v>5000</v>
      </c>
      <c r="T87" s="706">
        <v>48259</v>
      </c>
      <c r="U87" s="40">
        <v>10000</v>
      </c>
      <c r="V87" s="707">
        <v>121584</v>
      </c>
      <c r="W87" s="707">
        <v>30000</v>
      </c>
      <c r="X87" s="6">
        <f t="shared" si="17"/>
        <v>169843</v>
      </c>
      <c r="Y87" s="6">
        <f t="shared" si="18"/>
        <v>15000</v>
      </c>
      <c r="Z87" s="12">
        <f t="shared" si="19"/>
        <v>45000</v>
      </c>
      <c r="AA87" s="811">
        <v>0.72</v>
      </c>
      <c r="AB87" s="811">
        <v>0.50819999999999999</v>
      </c>
      <c r="AC87" s="836">
        <f t="shared" si="20"/>
        <v>34746.479999999996</v>
      </c>
      <c r="AD87" s="836">
        <f t="shared" si="21"/>
        <v>24525.2238</v>
      </c>
      <c r="AE87" s="811">
        <v>0.72</v>
      </c>
      <c r="AF87" s="811">
        <v>0.65720000000000001</v>
      </c>
      <c r="AG87" s="836">
        <f t="shared" si="22"/>
        <v>87540.479999999996</v>
      </c>
      <c r="AH87" s="836">
        <f t="shared" si="23"/>
        <v>79905.004799999995</v>
      </c>
      <c r="AI87" s="794">
        <f t="shared" si="24"/>
        <v>122286.95999999999</v>
      </c>
      <c r="AJ87" s="794">
        <f t="shared" si="25"/>
        <v>104430.2286</v>
      </c>
      <c r="AK87" s="60">
        <v>19730667</v>
      </c>
      <c r="AL87" s="61">
        <v>4697690</v>
      </c>
      <c r="AM87" s="62">
        <f t="shared" si="16"/>
        <v>24428357</v>
      </c>
      <c r="AN87" s="77">
        <v>640664</v>
      </c>
      <c r="AO87" s="77">
        <v>640664</v>
      </c>
      <c r="AP87" s="596">
        <v>0</v>
      </c>
      <c r="AQ87" s="638">
        <v>4825421</v>
      </c>
      <c r="AR87" s="638">
        <v>5264276</v>
      </c>
      <c r="AS87" s="638">
        <v>5279579</v>
      </c>
      <c r="AT87" s="638">
        <v>4361391</v>
      </c>
      <c r="AU87" s="638">
        <v>567697</v>
      </c>
      <c r="AV87" s="638">
        <v>640663.95980400022</v>
      </c>
      <c r="AW87" s="786">
        <v>1030327.0852380001</v>
      </c>
      <c r="AX87" s="720">
        <v>515164</v>
      </c>
      <c r="AY87" s="720">
        <v>515164</v>
      </c>
      <c r="AZ87" s="640">
        <v>2459002.0027980004</v>
      </c>
      <c r="BA87" s="668"/>
      <c r="BB87" s="668"/>
      <c r="BC87" s="668"/>
      <c r="BD87" s="668"/>
      <c r="BE87" s="668"/>
      <c r="BF87" s="184"/>
      <c r="BG87" s="184">
        <v>0</v>
      </c>
      <c r="BH87" s="184">
        <v>640664</v>
      </c>
      <c r="BI87" s="181">
        <v>640664</v>
      </c>
      <c r="BJ87" s="181">
        <f t="shared" si="26"/>
        <v>640664</v>
      </c>
    </row>
    <row r="88" spans="1:62" ht="105.75" thickBot="1" x14ac:dyDescent="0.25">
      <c r="A88" s="42">
        <v>87</v>
      </c>
      <c r="B88" s="2" t="s">
        <v>463</v>
      </c>
      <c r="C88" s="2" t="s">
        <v>464</v>
      </c>
      <c r="D88" s="16" t="s">
        <v>397</v>
      </c>
      <c r="E88" s="16" t="s">
        <v>1240</v>
      </c>
      <c r="F88" s="2" t="s">
        <v>1023</v>
      </c>
      <c r="G88" s="4" t="s">
        <v>543</v>
      </c>
      <c r="H88" s="636" t="s">
        <v>1423</v>
      </c>
      <c r="I88" s="2" t="s">
        <v>465</v>
      </c>
      <c r="J88" s="2" t="s">
        <v>997</v>
      </c>
      <c r="K88" s="29" t="s">
        <v>435</v>
      </c>
      <c r="L88" s="29" t="s">
        <v>45</v>
      </c>
      <c r="M88" s="45">
        <v>274006</v>
      </c>
      <c r="N88" s="46">
        <v>54053</v>
      </c>
      <c r="O88" s="51">
        <v>0.197269</v>
      </c>
      <c r="P88" s="3" t="s">
        <v>189</v>
      </c>
      <c r="Q88" s="3" t="s">
        <v>544</v>
      </c>
      <c r="R88" s="2">
        <v>2756</v>
      </c>
      <c r="S88" s="2">
        <v>100</v>
      </c>
      <c r="T88" s="2">
        <v>258</v>
      </c>
      <c r="U88" s="3">
        <v>200</v>
      </c>
      <c r="V88" s="44">
        <v>443</v>
      </c>
      <c r="W88" s="44">
        <v>300</v>
      </c>
      <c r="X88" s="6">
        <f t="shared" si="17"/>
        <v>701</v>
      </c>
      <c r="Y88" s="6">
        <f t="shared" si="18"/>
        <v>300</v>
      </c>
      <c r="Z88" s="12">
        <f t="shared" si="19"/>
        <v>600</v>
      </c>
      <c r="AA88" s="811">
        <v>0.72</v>
      </c>
      <c r="AB88" s="811">
        <v>0.56999999999999995</v>
      </c>
      <c r="AC88" s="836">
        <f t="shared" si="20"/>
        <v>185.76</v>
      </c>
      <c r="AD88" s="836">
        <f t="shared" si="21"/>
        <v>147.05999999999997</v>
      </c>
      <c r="AE88" s="811">
        <v>0.72</v>
      </c>
      <c r="AF88" s="811">
        <v>0.68799999999999994</v>
      </c>
      <c r="AG88" s="836">
        <f t="shared" si="22"/>
        <v>318.95999999999998</v>
      </c>
      <c r="AH88" s="836">
        <f t="shared" si="23"/>
        <v>304.78399999999999</v>
      </c>
      <c r="AI88" s="794">
        <f t="shared" si="24"/>
        <v>504.71999999999997</v>
      </c>
      <c r="AJ88" s="794">
        <f t="shared" si="25"/>
        <v>451.84399999999994</v>
      </c>
      <c r="AK88" s="60">
        <v>10048795</v>
      </c>
      <c r="AL88" s="61">
        <v>5408195</v>
      </c>
      <c r="AM88" s="62">
        <f t="shared" si="16"/>
        <v>15456990</v>
      </c>
      <c r="AN88" s="77">
        <v>427110</v>
      </c>
      <c r="AO88" s="77">
        <v>427110</v>
      </c>
      <c r="AP88" s="596">
        <v>0</v>
      </c>
      <c r="AQ88" s="638">
        <v>1664991</v>
      </c>
      <c r="AR88" s="638">
        <v>2917633</v>
      </c>
      <c r="AS88" s="638">
        <v>2990865</v>
      </c>
      <c r="AT88" s="638">
        <v>2475306</v>
      </c>
      <c r="AU88" s="638">
        <v>2654866</v>
      </c>
      <c r="AV88" s="638">
        <v>427109.30653600005</v>
      </c>
      <c r="AW88" s="786">
        <v>686884.72349200002</v>
      </c>
      <c r="AX88" s="720">
        <v>686885</v>
      </c>
      <c r="AY88" s="720">
        <v>0</v>
      </c>
      <c r="AZ88" s="640">
        <v>1639334.6685319999</v>
      </c>
      <c r="BA88" s="668"/>
      <c r="BB88" s="668"/>
      <c r="BC88" s="668"/>
      <c r="BD88" s="668"/>
      <c r="BE88" s="668"/>
      <c r="BF88" s="184"/>
      <c r="BG88" s="184">
        <v>0</v>
      </c>
      <c r="BH88" s="184">
        <v>427110</v>
      </c>
      <c r="BI88" s="181">
        <v>427110</v>
      </c>
      <c r="BJ88" s="181">
        <f t="shared" si="26"/>
        <v>427110</v>
      </c>
    </row>
    <row r="89" spans="1:62" ht="75.75" thickBot="1" x14ac:dyDescent="0.25">
      <c r="A89" s="41">
        <v>88</v>
      </c>
      <c r="B89" s="16" t="s">
        <v>266</v>
      </c>
      <c r="C89" s="16" t="s">
        <v>466</v>
      </c>
      <c r="D89" s="16" t="s">
        <v>759</v>
      </c>
      <c r="E89" s="16" t="s">
        <v>1253</v>
      </c>
      <c r="F89" s="16" t="s">
        <v>862</v>
      </c>
      <c r="G89" s="4" t="s">
        <v>545</v>
      </c>
      <c r="H89" s="636" t="s">
        <v>1424</v>
      </c>
      <c r="I89" s="16" t="s">
        <v>467</v>
      </c>
      <c r="J89" s="16" t="s">
        <v>992</v>
      </c>
      <c r="K89" s="16" t="s">
        <v>424</v>
      </c>
      <c r="L89" s="16" t="s">
        <v>10</v>
      </c>
      <c r="M89" s="45">
        <v>98</v>
      </c>
      <c r="N89" s="46">
        <v>67</v>
      </c>
      <c r="O89" s="51">
        <v>0.68367299999999998</v>
      </c>
      <c r="P89" s="17" t="s">
        <v>111</v>
      </c>
      <c r="Q89" s="12" t="s">
        <v>546</v>
      </c>
      <c r="R89" s="16">
        <v>913</v>
      </c>
      <c r="S89" s="16">
        <v>270</v>
      </c>
      <c r="T89" s="12">
        <v>370</v>
      </c>
      <c r="U89" s="21">
        <v>1300</v>
      </c>
      <c r="V89" s="26">
        <v>1637</v>
      </c>
      <c r="W89" s="59">
        <v>1300</v>
      </c>
      <c r="X89" s="6">
        <f t="shared" si="17"/>
        <v>2007</v>
      </c>
      <c r="Y89" s="6">
        <f t="shared" si="18"/>
        <v>1570</v>
      </c>
      <c r="Z89" s="12">
        <f t="shared" si="19"/>
        <v>2870</v>
      </c>
      <c r="AA89" s="811">
        <v>0.72</v>
      </c>
      <c r="AB89" s="811">
        <v>0.65989999999999993</v>
      </c>
      <c r="AC89" s="836">
        <f t="shared" si="20"/>
        <v>266.39999999999998</v>
      </c>
      <c r="AD89" s="836">
        <f t="shared" si="21"/>
        <v>244.16299999999998</v>
      </c>
      <c r="AE89" s="811">
        <v>0.72</v>
      </c>
      <c r="AF89" s="811">
        <v>0.60199999999999998</v>
      </c>
      <c r="AG89" s="836">
        <f t="shared" si="22"/>
        <v>1178.6399999999999</v>
      </c>
      <c r="AH89" s="836">
        <f t="shared" si="23"/>
        <v>985.47399999999993</v>
      </c>
      <c r="AI89" s="794">
        <f t="shared" si="24"/>
        <v>1445.04</v>
      </c>
      <c r="AJ89" s="794">
        <f t="shared" si="25"/>
        <v>1229.6369999999999</v>
      </c>
      <c r="AK89" s="65">
        <v>11217312</v>
      </c>
      <c r="AL89" s="749">
        <v>6621607</v>
      </c>
      <c r="AM89" s="62">
        <f t="shared" si="16"/>
        <v>17838919</v>
      </c>
      <c r="AN89" s="77">
        <v>427110</v>
      </c>
      <c r="AO89" s="77">
        <v>427110</v>
      </c>
      <c r="AP89" s="171">
        <v>0</v>
      </c>
      <c r="AQ89" s="638">
        <v>1929775</v>
      </c>
      <c r="AR89" s="638">
        <v>3232854</v>
      </c>
      <c r="AS89" s="638">
        <v>3313802</v>
      </c>
      <c r="AT89" s="638">
        <v>2740881</v>
      </c>
      <c r="AU89" s="638">
        <v>3868278</v>
      </c>
      <c r="AV89" s="638">
        <v>427109.30653600005</v>
      </c>
      <c r="AW89" s="786">
        <v>343442.5</v>
      </c>
      <c r="AX89" s="720">
        <v>343442</v>
      </c>
      <c r="AY89" s="720">
        <v>0</v>
      </c>
      <c r="AZ89" s="640">
        <v>1639334.6685319999</v>
      </c>
      <c r="BA89" s="668"/>
      <c r="BB89" s="668"/>
      <c r="BC89" s="668"/>
      <c r="BD89" s="668"/>
      <c r="BE89" s="668"/>
      <c r="BF89" s="184"/>
      <c r="BG89" s="184">
        <v>0</v>
      </c>
      <c r="BH89" s="184">
        <v>427110</v>
      </c>
      <c r="BI89" s="181">
        <v>427110</v>
      </c>
      <c r="BJ89" s="181">
        <f t="shared" si="26"/>
        <v>427110</v>
      </c>
    </row>
    <row r="90" spans="1:62" ht="135.75" thickBot="1" x14ac:dyDescent="0.25">
      <c r="A90" s="41">
        <v>89</v>
      </c>
      <c r="B90" s="16" t="s">
        <v>283</v>
      </c>
      <c r="C90" s="12" t="s">
        <v>468</v>
      </c>
      <c r="D90" s="16" t="s">
        <v>759</v>
      </c>
      <c r="E90" s="16" t="s">
        <v>1253</v>
      </c>
      <c r="F90" s="16" t="s">
        <v>862</v>
      </c>
      <c r="G90" s="4" t="s">
        <v>547</v>
      </c>
      <c r="H90" s="636" t="s">
        <v>1425</v>
      </c>
      <c r="I90" s="16" t="s">
        <v>469</v>
      </c>
      <c r="J90" s="16" t="s">
        <v>992</v>
      </c>
      <c r="K90" s="2" t="s">
        <v>470</v>
      </c>
      <c r="L90" s="2" t="s">
        <v>10</v>
      </c>
      <c r="M90" s="45">
        <v>70</v>
      </c>
      <c r="N90" s="46">
        <v>2</v>
      </c>
      <c r="O90" s="51">
        <v>2.8571428999999999E-2</v>
      </c>
      <c r="P90" s="17" t="s">
        <v>111</v>
      </c>
      <c r="Q90" s="12" t="s">
        <v>548</v>
      </c>
      <c r="R90" s="16">
        <v>582</v>
      </c>
      <c r="S90" s="16">
        <v>3300</v>
      </c>
      <c r="T90" s="16">
        <v>582</v>
      </c>
      <c r="U90" s="12">
        <v>3300</v>
      </c>
      <c r="V90" s="59">
        <v>582</v>
      </c>
      <c r="W90" s="59">
        <v>3300</v>
      </c>
      <c r="X90" s="6">
        <f t="shared" si="17"/>
        <v>1164</v>
      </c>
      <c r="Y90" s="6">
        <f t="shared" si="18"/>
        <v>6600</v>
      </c>
      <c r="Z90" s="12">
        <f t="shared" si="19"/>
        <v>9900</v>
      </c>
      <c r="AA90" s="811">
        <v>0</v>
      </c>
      <c r="AB90" s="811" t="s">
        <v>1553</v>
      </c>
      <c r="AC90" s="836">
        <f t="shared" si="20"/>
        <v>0</v>
      </c>
      <c r="AD90" s="836">
        <v>0</v>
      </c>
      <c r="AE90" s="811">
        <v>0.29459999999999997</v>
      </c>
      <c r="AF90" s="811" t="s">
        <v>1553</v>
      </c>
      <c r="AG90" s="836">
        <f t="shared" si="22"/>
        <v>171.45719999999997</v>
      </c>
      <c r="AH90" s="836">
        <v>0</v>
      </c>
      <c r="AI90" s="794">
        <f t="shared" si="24"/>
        <v>171.45719999999997</v>
      </c>
      <c r="AJ90" s="794">
        <f t="shared" si="25"/>
        <v>0</v>
      </c>
      <c r="AK90" s="60">
        <v>15128755</v>
      </c>
      <c r="AL90" s="61">
        <v>3556758</v>
      </c>
      <c r="AM90" s="62">
        <f t="shared" si="16"/>
        <v>18685513</v>
      </c>
      <c r="AN90" s="127">
        <v>243461</v>
      </c>
      <c r="AO90" s="77">
        <v>486922</v>
      </c>
      <c r="AP90" s="171">
        <v>243461</v>
      </c>
      <c r="AQ90" s="638">
        <v>3699957</v>
      </c>
      <c r="AR90" s="638">
        <v>4036454</v>
      </c>
      <c r="AS90" s="638">
        <v>4048188</v>
      </c>
      <c r="AT90" s="638">
        <v>3344156</v>
      </c>
      <c r="AU90" s="638">
        <v>420075</v>
      </c>
      <c r="AV90" s="638">
        <v>486921.96</v>
      </c>
      <c r="AW90" s="786">
        <v>781339.78</v>
      </c>
      <c r="AX90" s="720">
        <v>781340</v>
      </c>
      <c r="AY90" s="720">
        <v>0</v>
      </c>
      <c r="AZ90" s="640">
        <v>1868421.26</v>
      </c>
      <c r="BA90" s="668"/>
      <c r="BB90" s="668"/>
      <c r="BC90" s="668"/>
      <c r="BD90" s="668"/>
      <c r="BE90" s="668"/>
      <c r="BF90" s="184"/>
      <c r="BG90" s="184">
        <v>243461</v>
      </c>
      <c r="BH90" s="184">
        <v>243461</v>
      </c>
      <c r="BI90" s="181">
        <v>486922</v>
      </c>
      <c r="BJ90" s="181">
        <f t="shared" si="26"/>
        <v>486922</v>
      </c>
    </row>
    <row r="91" spans="1:62" ht="285.75" thickBot="1" x14ac:dyDescent="0.25">
      <c r="A91" s="41">
        <v>90</v>
      </c>
      <c r="B91" s="16" t="s">
        <v>471</v>
      </c>
      <c r="C91" s="12" t="s">
        <v>472</v>
      </c>
      <c r="D91" s="16" t="s">
        <v>574</v>
      </c>
      <c r="E91" s="16" t="s">
        <v>1249</v>
      </c>
      <c r="F91" s="16" t="s">
        <v>575</v>
      </c>
      <c r="G91" s="4" t="s">
        <v>549</v>
      </c>
      <c r="H91" s="607" t="s">
        <v>1426</v>
      </c>
      <c r="I91" s="16" t="s">
        <v>473</v>
      </c>
      <c r="J91" s="16" t="s">
        <v>1008</v>
      </c>
      <c r="K91" s="2" t="s">
        <v>474</v>
      </c>
      <c r="L91" s="2" t="s">
        <v>94</v>
      </c>
      <c r="M91" s="45" t="s">
        <v>550</v>
      </c>
      <c r="N91" s="46" t="s">
        <v>551</v>
      </c>
      <c r="O91" s="51" t="s">
        <v>1076</v>
      </c>
      <c r="P91" s="17" t="s">
        <v>189</v>
      </c>
      <c r="Q91" s="12" t="s">
        <v>552</v>
      </c>
      <c r="R91" s="16">
        <v>0</v>
      </c>
      <c r="S91" s="16">
        <v>360</v>
      </c>
      <c r="T91" s="16">
        <v>0</v>
      </c>
      <c r="U91" s="12">
        <v>360</v>
      </c>
      <c r="V91" s="59">
        <v>0</v>
      </c>
      <c r="W91" s="59">
        <v>360</v>
      </c>
      <c r="X91" s="6">
        <f t="shared" si="17"/>
        <v>0</v>
      </c>
      <c r="Y91" s="6">
        <f t="shared" si="18"/>
        <v>720</v>
      </c>
      <c r="Z91" s="12">
        <f t="shared" si="19"/>
        <v>1080</v>
      </c>
      <c r="AA91" s="811">
        <v>0.89999999999999991</v>
      </c>
      <c r="AB91" s="811">
        <v>1</v>
      </c>
      <c r="AC91" s="836">
        <f t="shared" si="20"/>
        <v>0</v>
      </c>
      <c r="AD91" s="836">
        <f t="shared" si="21"/>
        <v>0</v>
      </c>
      <c r="AE91" s="811">
        <v>0.89999999999999991</v>
      </c>
      <c r="AF91" s="811">
        <v>0.99</v>
      </c>
      <c r="AG91" s="836">
        <f t="shared" si="22"/>
        <v>0</v>
      </c>
      <c r="AH91" s="836">
        <f t="shared" ref="AH91:AH100" si="27">AF91*V91</f>
        <v>0</v>
      </c>
      <c r="AI91" s="794">
        <f t="shared" si="24"/>
        <v>0</v>
      </c>
      <c r="AJ91" s="794">
        <f t="shared" si="25"/>
        <v>0</v>
      </c>
      <c r="AK91" s="60">
        <v>2996849</v>
      </c>
      <c r="AL91" s="61">
        <v>2494648</v>
      </c>
      <c r="AM91" s="62">
        <f t="shared" si="16"/>
        <v>5491497</v>
      </c>
      <c r="AN91" s="158">
        <v>832280</v>
      </c>
      <c r="AO91" s="158">
        <v>832280</v>
      </c>
      <c r="AP91" s="594">
        <v>0</v>
      </c>
      <c r="AQ91" s="597" t="s">
        <v>1336</v>
      </c>
      <c r="AR91" s="645">
        <v>1126536.5</v>
      </c>
      <c r="AS91" s="645">
        <v>913408.5</v>
      </c>
      <c r="AT91" s="645">
        <v>956904</v>
      </c>
      <c r="AU91" s="597" t="s">
        <v>1336</v>
      </c>
      <c r="AV91" s="645">
        <v>832280.9</v>
      </c>
      <c r="AW91" s="784">
        <v>736902.1</v>
      </c>
      <c r="AX91" s="785">
        <v>736903</v>
      </c>
      <c r="AY91" s="785">
        <v>0</v>
      </c>
      <c r="AZ91" s="664">
        <v>925465.9</v>
      </c>
      <c r="BA91" s="669"/>
      <c r="BB91" s="669"/>
      <c r="BC91" s="669"/>
      <c r="BD91" s="669"/>
      <c r="BE91" s="669"/>
      <c r="BF91" s="182"/>
      <c r="BG91" s="182">
        <v>0</v>
      </c>
      <c r="BH91" s="182">
        <f>416140*2</f>
        <v>832280</v>
      </c>
      <c r="BI91" s="179">
        <f>416140*2</f>
        <v>832280</v>
      </c>
      <c r="BJ91" s="181">
        <f t="shared" si="26"/>
        <v>832280</v>
      </c>
    </row>
    <row r="92" spans="1:62" ht="210.95" customHeight="1" thickBot="1" x14ac:dyDescent="0.25">
      <c r="A92" s="41">
        <v>91</v>
      </c>
      <c r="B92" s="16" t="s">
        <v>471</v>
      </c>
      <c r="C92" s="12" t="s">
        <v>475</v>
      </c>
      <c r="D92" s="16" t="s">
        <v>759</v>
      </c>
      <c r="E92" s="16" t="s">
        <v>1238</v>
      </c>
      <c r="F92" s="16" t="s">
        <v>862</v>
      </c>
      <c r="G92" s="4" t="s">
        <v>553</v>
      </c>
      <c r="H92" s="607" t="s">
        <v>1427</v>
      </c>
      <c r="I92" s="16" t="s">
        <v>476</v>
      </c>
      <c r="J92" s="16" t="s">
        <v>992</v>
      </c>
      <c r="K92" s="2" t="s">
        <v>477</v>
      </c>
      <c r="L92" s="2" t="s">
        <v>10</v>
      </c>
      <c r="M92" s="45">
        <v>281</v>
      </c>
      <c r="N92" s="46">
        <v>111</v>
      </c>
      <c r="O92" s="51">
        <v>0.39501799999999998</v>
      </c>
      <c r="P92" s="17" t="s">
        <v>189</v>
      </c>
      <c r="Q92" s="12" t="s">
        <v>552</v>
      </c>
      <c r="R92" s="16">
        <v>0</v>
      </c>
      <c r="S92" s="16">
        <v>120</v>
      </c>
      <c r="T92" s="16">
        <v>0</v>
      </c>
      <c r="U92" s="12">
        <v>120</v>
      </c>
      <c r="V92" s="59">
        <v>0</v>
      </c>
      <c r="W92" s="59">
        <v>120</v>
      </c>
      <c r="X92" s="6">
        <f t="shared" si="17"/>
        <v>0</v>
      </c>
      <c r="Y92" s="6">
        <f t="shared" si="18"/>
        <v>240</v>
      </c>
      <c r="Z92" s="12">
        <f t="shared" si="19"/>
        <v>360</v>
      </c>
      <c r="AA92" s="811">
        <v>0.89999999999999991</v>
      </c>
      <c r="AB92" s="811">
        <v>0.98619999999999997</v>
      </c>
      <c r="AC92" s="836">
        <f t="shared" si="20"/>
        <v>0</v>
      </c>
      <c r="AD92" s="836">
        <f t="shared" si="21"/>
        <v>0</v>
      </c>
      <c r="AE92" s="811">
        <v>0.89999999999999991</v>
      </c>
      <c r="AF92" s="811">
        <v>0.89999999999999991</v>
      </c>
      <c r="AG92" s="836">
        <f t="shared" si="22"/>
        <v>0</v>
      </c>
      <c r="AH92" s="836">
        <f t="shared" si="27"/>
        <v>0</v>
      </c>
      <c r="AI92" s="794">
        <f t="shared" si="24"/>
        <v>0</v>
      </c>
      <c r="AJ92" s="794">
        <f t="shared" si="25"/>
        <v>0</v>
      </c>
      <c r="AK92" s="60">
        <v>1396346</v>
      </c>
      <c r="AL92" s="61">
        <v>2494649</v>
      </c>
      <c r="AM92" s="62">
        <f t="shared" si="16"/>
        <v>3890995</v>
      </c>
      <c r="AN92" s="127">
        <v>832280</v>
      </c>
      <c r="AO92" s="77">
        <v>832280</v>
      </c>
      <c r="AP92" s="171">
        <v>0</v>
      </c>
      <c r="AQ92" s="652" t="s">
        <v>1336</v>
      </c>
      <c r="AR92" s="645">
        <v>600555</v>
      </c>
      <c r="AS92" s="645">
        <v>392011</v>
      </c>
      <c r="AT92" s="645">
        <v>403780</v>
      </c>
      <c r="AU92" s="652" t="s">
        <v>1336</v>
      </c>
      <c r="AV92" s="645">
        <v>832280.9</v>
      </c>
      <c r="AW92" s="784">
        <v>736902.1</v>
      </c>
      <c r="AX92" s="785">
        <v>736902</v>
      </c>
      <c r="AY92" s="785">
        <v>0</v>
      </c>
      <c r="AZ92" s="664">
        <v>925465.9</v>
      </c>
      <c r="BA92" s="669"/>
      <c r="BB92" s="669"/>
      <c r="BC92" s="669"/>
      <c r="BD92" s="669"/>
      <c r="BE92" s="669"/>
      <c r="BF92" s="184"/>
      <c r="BG92" s="184">
        <v>0</v>
      </c>
      <c r="BH92" s="184">
        <v>832280</v>
      </c>
      <c r="BI92" s="181">
        <v>832280</v>
      </c>
      <c r="BJ92" s="181">
        <f t="shared" si="26"/>
        <v>832280</v>
      </c>
    </row>
    <row r="93" spans="1:62" ht="165.6" customHeight="1" thickBot="1" x14ac:dyDescent="0.25">
      <c r="A93" s="41">
        <v>92</v>
      </c>
      <c r="B93" s="16" t="s">
        <v>362</v>
      </c>
      <c r="C93" s="16" t="s">
        <v>478</v>
      </c>
      <c r="D93" s="16" t="s">
        <v>1023</v>
      </c>
      <c r="E93" s="16" t="s">
        <v>1238</v>
      </c>
      <c r="F93" s="16" t="s">
        <v>1025</v>
      </c>
      <c r="G93" s="4" t="s">
        <v>554</v>
      </c>
      <c r="H93" s="636" t="s">
        <v>1428</v>
      </c>
      <c r="I93" s="16" t="s">
        <v>479</v>
      </c>
      <c r="J93" s="2" t="s">
        <v>992</v>
      </c>
      <c r="K93" s="2" t="s">
        <v>480</v>
      </c>
      <c r="L93" s="16" t="s">
        <v>209</v>
      </c>
      <c r="M93" s="45" t="s">
        <v>555</v>
      </c>
      <c r="N93" s="46" t="s">
        <v>556</v>
      </c>
      <c r="O93" s="51" t="s">
        <v>1077</v>
      </c>
      <c r="P93" s="12" t="s">
        <v>189</v>
      </c>
      <c r="Q93" s="12" t="s">
        <v>557</v>
      </c>
      <c r="R93" s="16">
        <v>0</v>
      </c>
      <c r="S93" s="16">
        <v>300</v>
      </c>
      <c r="T93" s="16">
        <v>0</v>
      </c>
      <c r="U93" s="12">
        <v>300</v>
      </c>
      <c r="V93" s="59">
        <v>0</v>
      </c>
      <c r="W93" s="59">
        <v>300</v>
      </c>
      <c r="X93" s="6">
        <f t="shared" si="17"/>
        <v>0</v>
      </c>
      <c r="Y93" s="6">
        <f t="shared" si="18"/>
        <v>600</v>
      </c>
      <c r="Z93" s="12">
        <f t="shared" si="19"/>
        <v>900</v>
      </c>
      <c r="AA93" s="811">
        <v>0.4</v>
      </c>
      <c r="AB93" s="811">
        <v>0.17450000000000002</v>
      </c>
      <c r="AC93" s="836">
        <f t="shared" si="20"/>
        <v>0</v>
      </c>
      <c r="AD93" s="836">
        <f t="shared" si="21"/>
        <v>0</v>
      </c>
      <c r="AE93" s="811">
        <v>0.4</v>
      </c>
      <c r="AF93" s="811">
        <v>0.13788275862068972</v>
      </c>
      <c r="AG93" s="836">
        <f t="shared" si="22"/>
        <v>0</v>
      </c>
      <c r="AH93" s="836">
        <f t="shared" si="27"/>
        <v>0</v>
      </c>
      <c r="AI93" s="794">
        <f t="shared" si="24"/>
        <v>0</v>
      </c>
      <c r="AJ93" s="794">
        <f t="shared" si="25"/>
        <v>0</v>
      </c>
      <c r="AK93" s="60">
        <v>82783</v>
      </c>
      <c r="AL93" s="61">
        <v>256968</v>
      </c>
      <c r="AM93" s="62">
        <f t="shared" si="16"/>
        <v>339751</v>
      </c>
      <c r="AN93" s="158">
        <v>43614</v>
      </c>
      <c r="AO93" s="158">
        <v>43614</v>
      </c>
      <c r="AP93" s="594">
        <v>0</v>
      </c>
      <c r="AQ93" s="638">
        <v>20246</v>
      </c>
      <c r="AR93" s="638">
        <v>22087</v>
      </c>
      <c r="AS93" s="638">
        <v>22151</v>
      </c>
      <c r="AT93" s="638">
        <v>18299</v>
      </c>
      <c r="AU93" s="638">
        <v>2382</v>
      </c>
      <c r="AV93" s="638">
        <v>43616.43</v>
      </c>
      <c r="AW93" s="786">
        <v>54740</v>
      </c>
      <c r="AX93" s="720">
        <v>54740</v>
      </c>
      <c r="AY93" s="720">
        <v>0</v>
      </c>
      <c r="AZ93" s="640">
        <v>145279.76999999999</v>
      </c>
      <c r="BA93" s="668"/>
      <c r="BB93" s="668"/>
      <c r="BC93" s="668"/>
      <c r="BD93" s="668"/>
      <c r="BE93" s="668"/>
      <c r="BF93" s="182"/>
      <c r="BG93" s="182">
        <v>0</v>
      </c>
      <c r="BH93" s="182">
        <f>14538*3</f>
        <v>43614</v>
      </c>
      <c r="BI93" s="179">
        <f>14538*3</f>
        <v>43614</v>
      </c>
      <c r="BJ93" s="181">
        <f t="shared" si="26"/>
        <v>43614</v>
      </c>
    </row>
    <row r="94" spans="1:62" ht="105.75" thickBot="1" x14ac:dyDescent="0.25">
      <c r="A94" s="41">
        <v>93</v>
      </c>
      <c r="B94" s="16" t="s">
        <v>362</v>
      </c>
      <c r="C94" s="16" t="s">
        <v>481</v>
      </c>
      <c r="D94" s="16" t="s">
        <v>397</v>
      </c>
      <c r="E94" s="16" t="s">
        <v>1240</v>
      </c>
      <c r="F94" s="16" t="s">
        <v>1020</v>
      </c>
      <c r="G94" s="4" t="s">
        <v>558</v>
      </c>
      <c r="H94" s="636" t="s">
        <v>1429</v>
      </c>
      <c r="I94" s="16" t="s">
        <v>482</v>
      </c>
      <c r="J94" s="16" t="s">
        <v>1003</v>
      </c>
      <c r="K94" s="16" t="s">
        <v>483</v>
      </c>
      <c r="L94" s="16" t="s">
        <v>10</v>
      </c>
      <c r="M94" s="45">
        <v>115</v>
      </c>
      <c r="N94" s="46">
        <v>63</v>
      </c>
      <c r="O94" s="51">
        <v>0.54782600000000004</v>
      </c>
      <c r="P94" s="12" t="s">
        <v>189</v>
      </c>
      <c r="Q94" s="12" t="s">
        <v>559</v>
      </c>
      <c r="R94" s="16">
        <v>0</v>
      </c>
      <c r="S94" s="63">
        <v>1065</v>
      </c>
      <c r="T94" s="63">
        <v>0</v>
      </c>
      <c r="U94" s="52">
        <v>1065</v>
      </c>
      <c r="V94" s="64">
        <v>0</v>
      </c>
      <c r="W94" s="64">
        <v>1065</v>
      </c>
      <c r="X94" s="6">
        <f t="shared" si="17"/>
        <v>0</v>
      </c>
      <c r="Y94" s="6">
        <f t="shared" si="18"/>
        <v>2130</v>
      </c>
      <c r="Z94" s="12">
        <f t="shared" si="19"/>
        <v>3195</v>
      </c>
      <c r="AA94" s="811">
        <v>0</v>
      </c>
      <c r="AB94" s="811" t="s">
        <v>1553</v>
      </c>
      <c r="AC94" s="836">
        <f t="shared" si="20"/>
        <v>0</v>
      </c>
      <c r="AD94" s="836">
        <v>0</v>
      </c>
      <c r="AE94" s="811">
        <v>0.22</v>
      </c>
      <c r="AF94" s="811">
        <v>0.73000000000000009</v>
      </c>
      <c r="AG94" s="836">
        <f t="shared" si="22"/>
        <v>0</v>
      </c>
      <c r="AH94" s="836">
        <f t="shared" si="27"/>
        <v>0</v>
      </c>
      <c r="AI94" s="794">
        <f t="shared" si="24"/>
        <v>0</v>
      </c>
      <c r="AJ94" s="794">
        <f t="shared" si="25"/>
        <v>0</v>
      </c>
      <c r="AK94" s="60">
        <v>165567</v>
      </c>
      <c r="AL94" s="61">
        <v>259347</v>
      </c>
      <c r="AM94" s="62">
        <f t="shared" si="16"/>
        <v>424914</v>
      </c>
      <c r="AN94" s="123">
        <v>43616</v>
      </c>
      <c r="AO94" s="716">
        <v>43616</v>
      </c>
      <c r="AP94" s="596">
        <v>0</v>
      </c>
      <c r="AQ94" s="638">
        <v>40492</v>
      </c>
      <c r="AR94" s="638">
        <v>44174</v>
      </c>
      <c r="AS94" s="638">
        <v>44303</v>
      </c>
      <c r="AT94" s="638">
        <v>36598</v>
      </c>
      <c r="AU94" s="638">
        <v>4764</v>
      </c>
      <c r="AV94" s="638">
        <v>43616.44</v>
      </c>
      <c r="AW94" s="786">
        <v>65686.78</v>
      </c>
      <c r="AX94" s="720">
        <v>65687</v>
      </c>
      <c r="AY94" s="720">
        <v>0</v>
      </c>
      <c r="AZ94" s="640">
        <v>145279.78</v>
      </c>
      <c r="BA94" s="668"/>
      <c r="BB94" s="668"/>
      <c r="BC94" s="668"/>
      <c r="BD94" s="668"/>
      <c r="BE94" s="668"/>
      <c r="BF94" s="184"/>
      <c r="BG94" s="184">
        <v>0</v>
      </c>
      <c r="BH94" s="184"/>
      <c r="BI94" s="190"/>
      <c r="BJ94" s="181">
        <f t="shared" si="26"/>
        <v>0</v>
      </c>
    </row>
    <row r="95" spans="1:62" ht="60.95" customHeight="1" thickBot="1" x14ac:dyDescent="0.25">
      <c r="A95" s="41">
        <v>94</v>
      </c>
      <c r="B95" s="16" t="s">
        <v>362</v>
      </c>
      <c r="C95" s="16" t="s">
        <v>484</v>
      </c>
      <c r="D95" s="16" t="s">
        <v>397</v>
      </c>
      <c r="E95" s="16" t="s">
        <v>1237</v>
      </c>
      <c r="F95" s="16" t="s">
        <v>75</v>
      </c>
      <c r="G95" s="4" t="s">
        <v>560</v>
      </c>
      <c r="H95" s="636" t="s">
        <v>1430</v>
      </c>
      <c r="I95" s="16" t="s">
        <v>485</v>
      </c>
      <c r="J95" s="16" t="s">
        <v>1003</v>
      </c>
      <c r="K95" s="16" t="s">
        <v>411</v>
      </c>
      <c r="L95" s="16" t="s">
        <v>10</v>
      </c>
      <c r="M95" s="45">
        <v>607</v>
      </c>
      <c r="N95" s="46">
        <v>285</v>
      </c>
      <c r="O95" s="51">
        <v>0.46952199999999999</v>
      </c>
      <c r="P95" s="12" t="s">
        <v>189</v>
      </c>
      <c r="Q95" s="12" t="s">
        <v>495</v>
      </c>
      <c r="R95" s="16">
        <v>0</v>
      </c>
      <c r="S95" s="16">
        <v>800</v>
      </c>
      <c r="T95" s="16">
        <v>0</v>
      </c>
      <c r="U95" s="12">
        <v>800</v>
      </c>
      <c r="V95" s="59">
        <v>0</v>
      </c>
      <c r="W95" s="59">
        <v>800</v>
      </c>
      <c r="X95" s="6">
        <f t="shared" si="17"/>
        <v>0</v>
      </c>
      <c r="Y95" s="6">
        <f t="shared" si="18"/>
        <v>1600</v>
      </c>
      <c r="Z95" s="12">
        <f t="shared" si="19"/>
        <v>2400</v>
      </c>
      <c r="AA95" s="811">
        <v>0</v>
      </c>
      <c r="AB95" s="811" t="s">
        <v>1553</v>
      </c>
      <c r="AC95" s="836">
        <f t="shared" si="20"/>
        <v>0</v>
      </c>
      <c r="AD95" s="836">
        <v>0</v>
      </c>
      <c r="AE95" s="811">
        <v>0.35</v>
      </c>
      <c r="AF95" s="811">
        <v>0.28000000000000003</v>
      </c>
      <c r="AG95" s="836">
        <f t="shared" si="22"/>
        <v>0</v>
      </c>
      <c r="AH95" s="836">
        <f t="shared" si="27"/>
        <v>0</v>
      </c>
      <c r="AI95" s="794">
        <f t="shared" si="24"/>
        <v>0</v>
      </c>
      <c r="AJ95" s="794">
        <f t="shared" si="25"/>
        <v>0</v>
      </c>
      <c r="AK95" s="60">
        <v>151769</v>
      </c>
      <c r="AL95" s="61">
        <v>258950</v>
      </c>
      <c r="AM95" s="62">
        <f t="shared" si="16"/>
        <v>410719</v>
      </c>
      <c r="AN95" s="77">
        <v>43616</v>
      </c>
      <c r="AO95" s="77">
        <v>43616</v>
      </c>
      <c r="AP95" s="596">
        <v>0</v>
      </c>
      <c r="AQ95" s="638">
        <v>37117</v>
      </c>
      <c r="AR95" s="638">
        <v>40493</v>
      </c>
      <c r="AS95" s="638">
        <v>40611</v>
      </c>
      <c r="AT95" s="638">
        <v>33548</v>
      </c>
      <c r="AU95" s="638">
        <v>4367</v>
      </c>
      <c r="AV95" s="638">
        <v>43616.44</v>
      </c>
      <c r="AW95" s="786">
        <v>65686.78</v>
      </c>
      <c r="AX95" s="720">
        <v>0</v>
      </c>
      <c r="AY95" s="720">
        <v>65687</v>
      </c>
      <c r="AZ95" s="640">
        <v>145279.78</v>
      </c>
      <c r="BA95" s="668"/>
      <c r="BB95" s="668"/>
      <c r="BC95" s="668"/>
      <c r="BD95" s="668"/>
      <c r="BE95" s="668"/>
      <c r="BF95" s="184"/>
      <c r="BG95" s="184">
        <v>0</v>
      </c>
      <c r="BH95" s="184">
        <v>43616</v>
      </c>
      <c r="BI95" s="181">
        <v>43616</v>
      </c>
      <c r="BJ95" s="181">
        <f t="shared" si="26"/>
        <v>43616</v>
      </c>
    </row>
    <row r="96" spans="1:62" ht="90.75" thickBot="1" x14ac:dyDescent="0.25">
      <c r="A96" s="42">
        <v>95</v>
      </c>
      <c r="B96" s="2" t="s">
        <v>321</v>
      </c>
      <c r="C96" s="2" t="s">
        <v>486</v>
      </c>
      <c r="D96" s="2" t="s">
        <v>1023</v>
      </c>
      <c r="E96" s="2" t="s">
        <v>1238</v>
      </c>
      <c r="F96" s="2" t="s">
        <v>415</v>
      </c>
      <c r="G96" s="4" t="s">
        <v>561</v>
      </c>
      <c r="H96" s="636" t="s">
        <v>1431</v>
      </c>
      <c r="I96" s="2" t="s">
        <v>487</v>
      </c>
      <c r="J96" s="2" t="s">
        <v>992</v>
      </c>
      <c r="K96" s="2" t="s">
        <v>488</v>
      </c>
      <c r="L96" s="2" t="s">
        <v>10</v>
      </c>
      <c r="M96" s="50" t="s">
        <v>34</v>
      </c>
      <c r="N96" s="50" t="s">
        <v>34</v>
      </c>
      <c r="O96" s="50" t="s">
        <v>34</v>
      </c>
      <c r="P96" s="3" t="s">
        <v>189</v>
      </c>
      <c r="Q96" s="3" t="s">
        <v>525</v>
      </c>
      <c r="R96" s="2">
        <v>0</v>
      </c>
      <c r="S96" s="67">
        <v>75</v>
      </c>
      <c r="T96" s="67">
        <v>0</v>
      </c>
      <c r="U96" s="33">
        <v>75</v>
      </c>
      <c r="V96" s="68">
        <v>0</v>
      </c>
      <c r="W96" s="68">
        <v>75</v>
      </c>
      <c r="X96" s="6">
        <f t="shared" si="17"/>
        <v>0</v>
      </c>
      <c r="Y96" s="6">
        <f t="shared" si="18"/>
        <v>150</v>
      </c>
      <c r="Z96" s="12">
        <f t="shared" si="19"/>
        <v>225</v>
      </c>
      <c r="AA96" s="811">
        <v>1</v>
      </c>
      <c r="AB96" s="811">
        <v>1</v>
      </c>
      <c r="AC96" s="836">
        <f t="shared" si="20"/>
        <v>0</v>
      </c>
      <c r="AD96" s="836">
        <f t="shared" si="21"/>
        <v>0</v>
      </c>
      <c r="AE96" s="811">
        <v>1</v>
      </c>
      <c r="AF96" s="811">
        <v>1</v>
      </c>
      <c r="AG96" s="836">
        <f t="shared" si="22"/>
        <v>0</v>
      </c>
      <c r="AH96" s="836">
        <f t="shared" si="27"/>
        <v>0</v>
      </c>
      <c r="AI96" s="794">
        <f t="shared" si="24"/>
        <v>0</v>
      </c>
      <c r="AJ96" s="794">
        <f t="shared" si="25"/>
        <v>0</v>
      </c>
      <c r="AK96" s="60">
        <v>475276</v>
      </c>
      <c r="AL96" s="61">
        <v>315992</v>
      </c>
      <c r="AM96" s="62">
        <f t="shared" si="16"/>
        <v>791268</v>
      </c>
      <c r="AN96" s="127">
        <v>32740</v>
      </c>
      <c r="AO96" s="77">
        <v>65480.14</v>
      </c>
      <c r="AP96" s="171">
        <v>32740</v>
      </c>
      <c r="AQ96" s="638">
        <v>105475</v>
      </c>
      <c r="AR96" s="638">
        <v>118374</v>
      </c>
      <c r="AS96" s="638">
        <v>128099</v>
      </c>
      <c r="AT96" s="638">
        <v>123328</v>
      </c>
      <c r="AU96" s="638">
        <v>5551</v>
      </c>
      <c r="AV96" s="638">
        <v>65480.26</v>
      </c>
      <c r="AW96" s="786">
        <v>75462</v>
      </c>
      <c r="AX96" s="720">
        <v>0</v>
      </c>
      <c r="AY96" s="720">
        <v>75462</v>
      </c>
      <c r="AZ96" s="640">
        <v>169499.4</v>
      </c>
      <c r="BA96" s="668"/>
      <c r="BB96" s="668"/>
      <c r="BC96" s="668"/>
      <c r="BD96" s="668"/>
      <c r="BE96" s="668"/>
      <c r="BF96" s="184"/>
      <c r="BG96" s="184">
        <v>0</v>
      </c>
      <c r="BH96" s="184">
        <v>16370.07</v>
      </c>
      <c r="BI96" s="245">
        <v>49110.07</v>
      </c>
      <c r="BJ96" s="245">
        <f t="shared" si="26"/>
        <v>16370.07</v>
      </c>
    </row>
    <row r="97" spans="1:62" ht="165.75" thickBot="1" x14ac:dyDescent="0.25">
      <c r="A97" s="41">
        <v>96</v>
      </c>
      <c r="B97" s="2" t="s">
        <v>5</v>
      </c>
      <c r="C97" s="12" t="s">
        <v>572</v>
      </c>
      <c r="D97" s="12" t="s">
        <v>574</v>
      </c>
      <c r="E97" s="12" t="s">
        <v>1249</v>
      </c>
      <c r="F97" s="3" t="s">
        <v>575</v>
      </c>
      <c r="G97" s="12" t="s">
        <v>669</v>
      </c>
      <c r="H97" s="636" t="s">
        <v>1432</v>
      </c>
      <c r="I97" s="2" t="s">
        <v>573</v>
      </c>
      <c r="J97" s="3" t="s">
        <v>995</v>
      </c>
      <c r="K97" s="3" t="s">
        <v>576</v>
      </c>
      <c r="L97" s="3" t="s">
        <v>10</v>
      </c>
      <c r="M97" s="45">
        <v>132</v>
      </c>
      <c r="N97" s="46">
        <v>129</v>
      </c>
      <c r="O97" s="51">
        <v>0.97727299999999995</v>
      </c>
      <c r="P97" s="12" t="s">
        <v>111</v>
      </c>
      <c r="Q97" s="12" t="s">
        <v>41</v>
      </c>
      <c r="R97" s="12">
        <v>7566</v>
      </c>
      <c r="S97" s="12">
        <v>2115</v>
      </c>
      <c r="T97" s="12">
        <v>7566</v>
      </c>
      <c r="U97" s="125">
        <v>2115</v>
      </c>
      <c r="V97" s="125">
        <v>7566</v>
      </c>
      <c r="W97" s="125">
        <v>2115</v>
      </c>
      <c r="X97" s="6">
        <f t="shared" si="17"/>
        <v>15132</v>
      </c>
      <c r="Y97" s="6">
        <f t="shared" si="18"/>
        <v>4230</v>
      </c>
      <c r="Z97" s="12">
        <f t="shared" si="19"/>
        <v>6345</v>
      </c>
      <c r="AA97" s="811">
        <v>0.93</v>
      </c>
      <c r="AB97" s="811">
        <v>0.67530000000000001</v>
      </c>
      <c r="AC97" s="836">
        <f t="shared" si="20"/>
        <v>7036.38</v>
      </c>
      <c r="AD97" s="836">
        <f t="shared" si="21"/>
        <v>5109.3198000000002</v>
      </c>
      <c r="AE97" s="811">
        <v>0.93</v>
      </c>
      <c r="AF97" s="811">
        <v>0.50150000000000006</v>
      </c>
      <c r="AG97" s="836">
        <f t="shared" si="22"/>
        <v>7036.38</v>
      </c>
      <c r="AH97" s="836">
        <f t="shared" si="27"/>
        <v>3794.3490000000006</v>
      </c>
      <c r="AI97" s="794">
        <f t="shared" si="24"/>
        <v>14072.76</v>
      </c>
      <c r="AJ97" s="794">
        <f t="shared" si="25"/>
        <v>8903.6688000000013</v>
      </c>
      <c r="AK97" s="72">
        <v>14042015</v>
      </c>
      <c r="AL97" s="62">
        <v>3661904</v>
      </c>
      <c r="AM97" s="73">
        <f t="shared" si="16"/>
        <v>17703919</v>
      </c>
      <c r="AN97" s="127">
        <v>502512</v>
      </c>
      <c r="AO97" s="77">
        <v>502512</v>
      </c>
      <c r="AP97" s="171">
        <v>0</v>
      </c>
      <c r="AQ97" s="638">
        <v>3265459</v>
      </c>
      <c r="AR97" s="638">
        <v>3562440</v>
      </c>
      <c r="AS97" s="638">
        <v>3950587</v>
      </c>
      <c r="AT97" s="638">
        <v>3263529</v>
      </c>
      <c r="AU97" s="638">
        <v>424794</v>
      </c>
      <c r="AV97" s="638">
        <v>502511.52</v>
      </c>
      <c r="AW97" s="786">
        <v>806355.51</v>
      </c>
      <c r="AX97" s="720">
        <v>806356</v>
      </c>
      <c r="AY97" s="720">
        <v>0</v>
      </c>
      <c r="AZ97" s="640">
        <v>1928241.81</v>
      </c>
      <c r="BA97" s="668"/>
      <c r="BB97" s="668"/>
      <c r="BC97" s="668"/>
      <c r="BD97" s="668"/>
      <c r="BE97" s="668"/>
      <c r="BF97" s="184"/>
      <c r="BG97" s="184">
        <v>0</v>
      </c>
      <c r="BH97" s="184">
        <v>502512</v>
      </c>
      <c r="BI97" s="181">
        <v>502512</v>
      </c>
      <c r="BJ97" s="181">
        <f t="shared" si="26"/>
        <v>502512</v>
      </c>
    </row>
    <row r="98" spans="1:62" ht="120.75" thickBot="1" x14ac:dyDescent="0.25">
      <c r="A98" s="41">
        <v>97</v>
      </c>
      <c r="B98" s="2" t="s">
        <v>14</v>
      </c>
      <c r="C98" s="12" t="s">
        <v>577</v>
      </c>
      <c r="D98" s="12" t="s">
        <v>574</v>
      </c>
      <c r="E98" s="12" t="s">
        <v>1249</v>
      </c>
      <c r="F98" s="3" t="s">
        <v>575</v>
      </c>
      <c r="G98" s="12" t="s">
        <v>670</v>
      </c>
      <c r="H98" s="636" t="s">
        <v>1433</v>
      </c>
      <c r="I98" s="2" t="s">
        <v>578</v>
      </c>
      <c r="J98" s="3" t="s">
        <v>1003</v>
      </c>
      <c r="K98" s="3" t="s">
        <v>579</v>
      </c>
      <c r="L98" s="3" t="s">
        <v>10</v>
      </c>
      <c r="M98" s="45">
        <v>224</v>
      </c>
      <c r="N98" s="46">
        <v>90</v>
      </c>
      <c r="O98" s="51">
        <v>0.40178599999999998</v>
      </c>
      <c r="P98" s="12" t="s">
        <v>111</v>
      </c>
      <c r="Q98" s="12" t="s">
        <v>671</v>
      </c>
      <c r="R98" s="12">
        <v>20894</v>
      </c>
      <c r="S98" s="12">
        <v>9500</v>
      </c>
      <c r="T98" s="12">
        <v>20894</v>
      </c>
      <c r="U98" s="12">
        <v>9500</v>
      </c>
      <c r="V98" s="12">
        <v>20894</v>
      </c>
      <c r="W98" s="52">
        <v>9500</v>
      </c>
      <c r="X98" s="6">
        <f t="shared" si="17"/>
        <v>41788</v>
      </c>
      <c r="Y98" s="6">
        <f t="shared" si="18"/>
        <v>19000</v>
      </c>
      <c r="Z98" s="12">
        <f t="shared" si="19"/>
        <v>28500</v>
      </c>
      <c r="AA98" s="811">
        <v>0</v>
      </c>
      <c r="AB98" s="811" t="s">
        <v>1553</v>
      </c>
      <c r="AC98" s="836">
        <f t="shared" si="20"/>
        <v>0</v>
      </c>
      <c r="AD98" s="836">
        <v>0</v>
      </c>
      <c r="AE98" s="811">
        <v>0.8</v>
      </c>
      <c r="AF98" s="811">
        <v>0.84800000000000009</v>
      </c>
      <c r="AG98" s="836">
        <f t="shared" si="22"/>
        <v>16715.2</v>
      </c>
      <c r="AH98" s="836">
        <f t="shared" si="27"/>
        <v>17718.112000000001</v>
      </c>
      <c r="AI98" s="794">
        <f t="shared" si="24"/>
        <v>16715.2</v>
      </c>
      <c r="AJ98" s="794">
        <f t="shared" si="25"/>
        <v>17718.112000000001</v>
      </c>
      <c r="AK98" s="72">
        <v>14734194</v>
      </c>
      <c r="AL98" s="62">
        <v>2030300</v>
      </c>
      <c r="AM98" s="757">
        <f t="shared" ref="AM98:AM129" si="28">SUM(AK98:AL98)</f>
        <v>16764494</v>
      </c>
      <c r="AN98" s="127">
        <v>351372</v>
      </c>
      <c r="AO98" s="77">
        <v>351372</v>
      </c>
      <c r="AP98" s="171">
        <v>0</v>
      </c>
      <c r="AQ98" s="638">
        <v>3603461</v>
      </c>
      <c r="AR98" s="638">
        <v>3931183</v>
      </c>
      <c r="AS98" s="638">
        <v>3942611</v>
      </c>
      <c r="AT98" s="638">
        <v>3256939</v>
      </c>
      <c r="AU98" s="638">
        <v>404180</v>
      </c>
      <c r="AV98" s="638">
        <v>468496.96</v>
      </c>
      <c r="AW98" s="786">
        <v>375887</v>
      </c>
      <c r="AX98" s="720">
        <v>375888</v>
      </c>
      <c r="AY98" s="720">
        <v>0</v>
      </c>
      <c r="AZ98" s="640">
        <v>1797720.9</v>
      </c>
      <c r="BA98" s="668"/>
      <c r="BB98" s="668"/>
      <c r="BC98" s="668"/>
      <c r="BD98" s="668"/>
      <c r="BE98" s="668"/>
      <c r="BF98" s="184"/>
      <c r="BG98" s="184">
        <v>0</v>
      </c>
      <c r="BH98" s="184">
        <v>351372</v>
      </c>
      <c r="BI98" s="181">
        <v>351372</v>
      </c>
      <c r="BJ98" s="181">
        <f t="shared" si="26"/>
        <v>351372</v>
      </c>
    </row>
    <row r="99" spans="1:62" ht="165.75" thickBot="1" x14ac:dyDescent="0.25">
      <c r="A99" s="41">
        <v>98</v>
      </c>
      <c r="B99" s="2" t="s">
        <v>14</v>
      </c>
      <c r="C99" s="12" t="s">
        <v>580</v>
      </c>
      <c r="D99" s="12" t="s">
        <v>574</v>
      </c>
      <c r="E99" s="12" t="s">
        <v>1249</v>
      </c>
      <c r="F99" s="3" t="s">
        <v>575</v>
      </c>
      <c r="G99" s="12" t="s">
        <v>672</v>
      </c>
      <c r="H99" s="636" t="s">
        <v>1434</v>
      </c>
      <c r="I99" s="2" t="s">
        <v>581</v>
      </c>
      <c r="J99" s="3" t="s">
        <v>1003</v>
      </c>
      <c r="K99" s="3" t="s">
        <v>582</v>
      </c>
      <c r="L99" s="3" t="s">
        <v>10</v>
      </c>
      <c r="M99" s="59" t="s">
        <v>34</v>
      </c>
      <c r="N99" s="59" t="s">
        <v>34</v>
      </c>
      <c r="O99" s="12" t="s">
        <v>34</v>
      </c>
      <c r="P99" s="12" t="s">
        <v>111</v>
      </c>
      <c r="Q99" s="12" t="s">
        <v>41</v>
      </c>
      <c r="R99" s="12">
        <v>0</v>
      </c>
      <c r="S99" s="52">
        <v>12400</v>
      </c>
      <c r="T99" s="52">
        <v>0</v>
      </c>
      <c r="U99" s="52">
        <v>12400</v>
      </c>
      <c r="V99" s="52">
        <v>0</v>
      </c>
      <c r="W99" s="52">
        <v>12400</v>
      </c>
      <c r="X99" s="6">
        <f t="shared" si="17"/>
        <v>0</v>
      </c>
      <c r="Y99" s="6">
        <f t="shared" si="18"/>
        <v>24800</v>
      </c>
      <c r="Z99" s="12">
        <f t="shared" si="19"/>
        <v>37200</v>
      </c>
      <c r="AA99" s="811">
        <v>0</v>
      </c>
      <c r="AB99" s="811" t="s">
        <v>1553</v>
      </c>
      <c r="AC99" s="836">
        <f t="shared" si="20"/>
        <v>0</v>
      </c>
      <c r="AD99" s="836">
        <v>0</v>
      </c>
      <c r="AE99" s="811">
        <v>7.0000000000000007E-2</v>
      </c>
      <c r="AF99" s="811">
        <v>0.17</v>
      </c>
      <c r="AG99" s="836">
        <f t="shared" si="22"/>
        <v>0</v>
      </c>
      <c r="AH99" s="836">
        <f t="shared" si="27"/>
        <v>0</v>
      </c>
      <c r="AI99" s="794">
        <f t="shared" si="24"/>
        <v>0</v>
      </c>
      <c r="AJ99" s="794">
        <f t="shared" si="25"/>
        <v>0</v>
      </c>
      <c r="AK99" s="72">
        <v>16550739</v>
      </c>
      <c r="AL99" s="62">
        <v>4138439</v>
      </c>
      <c r="AM99" s="73">
        <f t="shared" si="28"/>
        <v>20689178</v>
      </c>
      <c r="AN99" s="127">
        <v>283277</v>
      </c>
      <c r="AO99" s="77">
        <v>566554</v>
      </c>
      <c r="AP99" s="171">
        <v>283277</v>
      </c>
      <c r="AQ99" s="638">
        <v>4047724</v>
      </c>
      <c r="AR99" s="638">
        <v>4415849</v>
      </c>
      <c r="AS99" s="638">
        <v>4428686</v>
      </c>
      <c r="AT99" s="638">
        <v>3658480</v>
      </c>
      <c r="AU99" s="638">
        <v>488775</v>
      </c>
      <c r="AV99" s="638">
        <v>566554.34</v>
      </c>
      <c r="AW99" s="786">
        <v>909122.03</v>
      </c>
      <c r="AX99" s="720">
        <v>795482</v>
      </c>
      <c r="AY99" s="720">
        <v>113640</v>
      </c>
      <c r="AZ99" s="640">
        <v>2173987.62</v>
      </c>
      <c r="BA99" s="668"/>
      <c r="BB99" s="668"/>
      <c r="BC99" s="668"/>
      <c r="BD99" s="668"/>
      <c r="BE99" s="668"/>
      <c r="BF99" s="184"/>
      <c r="BG99" s="184">
        <v>283277</v>
      </c>
      <c r="BH99" s="184">
        <v>283277</v>
      </c>
      <c r="BI99" s="181">
        <v>566554</v>
      </c>
      <c r="BJ99" s="181">
        <f t="shared" si="26"/>
        <v>566554</v>
      </c>
    </row>
    <row r="100" spans="1:62" ht="135.94999999999999" customHeight="1" thickBot="1" x14ac:dyDescent="0.25">
      <c r="A100" s="41">
        <v>99</v>
      </c>
      <c r="B100" s="2" t="s">
        <v>583</v>
      </c>
      <c r="C100" s="12" t="s">
        <v>584</v>
      </c>
      <c r="D100" s="12" t="s">
        <v>574</v>
      </c>
      <c r="E100" s="12" t="s">
        <v>1249</v>
      </c>
      <c r="F100" s="3" t="s">
        <v>575</v>
      </c>
      <c r="G100" s="12" t="s">
        <v>673</v>
      </c>
      <c r="H100" s="636" t="s">
        <v>1435</v>
      </c>
      <c r="I100" s="2" t="s">
        <v>585</v>
      </c>
      <c r="J100" s="3" t="s">
        <v>1013</v>
      </c>
      <c r="K100" s="3" t="s">
        <v>586</v>
      </c>
      <c r="L100" s="3" t="s">
        <v>587</v>
      </c>
      <c r="M100" s="45" t="s">
        <v>674</v>
      </c>
      <c r="N100" s="46" t="s">
        <v>675</v>
      </c>
      <c r="O100" s="51" t="s">
        <v>1078</v>
      </c>
      <c r="P100" s="12" t="s">
        <v>111</v>
      </c>
      <c r="Q100" s="12" t="s">
        <v>306</v>
      </c>
      <c r="R100" s="12">
        <v>0</v>
      </c>
      <c r="S100" s="3">
        <v>4000</v>
      </c>
      <c r="T100" s="3">
        <v>0</v>
      </c>
      <c r="U100" s="3">
        <v>4000</v>
      </c>
      <c r="V100" s="3">
        <v>0</v>
      </c>
      <c r="W100" s="52">
        <v>4000</v>
      </c>
      <c r="X100" s="6">
        <f t="shared" si="17"/>
        <v>0</v>
      </c>
      <c r="Y100" s="6">
        <f t="shared" si="18"/>
        <v>8000</v>
      </c>
      <c r="Z100" s="12">
        <f t="shared" si="19"/>
        <v>12000</v>
      </c>
      <c r="AA100" s="811">
        <v>1</v>
      </c>
      <c r="AB100" s="811">
        <v>1</v>
      </c>
      <c r="AC100" s="836">
        <f t="shared" si="20"/>
        <v>0</v>
      </c>
      <c r="AD100" s="836">
        <f t="shared" si="21"/>
        <v>0</v>
      </c>
      <c r="AE100" s="811">
        <v>1</v>
      </c>
      <c r="AF100" s="811">
        <v>1</v>
      </c>
      <c r="AG100" s="836">
        <f t="shared" si="22"/>
        <v>0</v>
      </c>
      <c r="AH100" s="836">
        <f t="shared" si="27"/>
        <v>0</v>
      </c>
      <c r="AI100" s="794">
        <f t="shared" si="24"/>
        <v>0</v>
      </c>
      <c r="AJ100" s="794">
        <f t="shared" si="25"/>
        <v>0</v>
      </c>
      <c r="AK100" s="72">
        <v>2304850</v>
      </c>
      <c r="AL100" s="62">
        <v>345154</v>
      </c>
      <c r="AM100" s="73">
        <f t="shared" si="28"/>
        <v>2650004</v>
      </c>
      <c r="AN100" s="158">
        <v>63999</v>
      </c>
      <c r="AO100" s="158">
        <v>64002</v>
      </c>
      <c r="AP100" s="594">
        <v>0</v>
      </c>
      <c r="AQ100" s="638">
        <v>553850</v>
      </c>
      <c r="AR100" s="638">
        <v>572000</v>
      </c>
      <c r="AS100" s="638">
        <v>586000</v>
      </c>
      <c r="AT100" s="638">
        <v>593000</v>
      </c>
      <c r="AU100" s="638">
        <v>29155</v>
      </c>
      <c r="AV100" s="638">
        <v>63999.990000000005</v>
      </c>
      <c r="AW100" s="786">
        <v>102998</v>
      </c>
      <c r="AX100" s="720">
        <v>85833</v>
      </c>
      <c r="AY100" s="720">
        <v>17167</v>
      </c>
      <c r="AZ100" s="640">
        <v>149000.01</v>
      </c>
      <c r="BA100" s="668"/>
      <c r="BB100" s="668"/>
      <c r="BC100" s="668"/>
      <c r="BD100" s="668"/>
      <c r="BE100" s="668"/>
      <c r="BF100" s="182"/>
      <c r="BG100" s="182">
        <v>0</v>
      </c>
      <c r="BH100" s="182">
        <f>21334*3</f>
        <v>64002</v>
      </c>
      <c r="BI100" s="179">
        <f>21334*3</f>
        <v>64002</v>
      </c>
      <c r="BJ100" s="181">
        <f t="shared" si="26"/>
        <v>64002</v>
      </c>
    </row>
    <row r="101" spans="1:62" ht="240.75" hidden="1" thickBot="1" x14ac:dyDescent="0.25">
      <c r="A101" s="41">
        <v>100</v>
      </c>
      <c r="B101" s="2" t="s">
        <v>617</v>
      </c>
      <c r="C101" s="12" t="s">
        <v>618</v>
      </c>
      <c r="D101" s="12" t="s">
        <v>574</v>
      </c>
      <c r="E101" s="12" t="s">
        <v>1249</v>
      </c>
      <c r="F101" s="3" t="s">
        <v>575</v>
      </c>
      <c r="G101" s="12" t="s">
        <v>707</v>
      </c>
      <c r="H101" s="12" t="s">
        <v>1447</v>
      </c>
      <c r="I101" s="2" t="s">
        <v>619</v>
      </c>
      <c r="J101" s="12" t="s">
        <v>994</v>
      </c>
      <c r="K101" s="3" t="s">
        <v>620</v>
      </c>
      <c r="L101" s="3" t="s">
        <v>209</v>
      </c>
      <c r="M101" s="59" t="s">
        <v>34</v>
      </c>
      <c r="N101" s="59" t="s">
        <v>34</v>
      </c>
      <c r="O101" s="12" t="s">
        <v>34</v>
      </c>
      <c r="P101" s="12" t="s">
        <v>111</v>
      </c>
      <c r="Q101" s="12" t="s">
        <v>708</v>
      </c>
      <c r="R101" s="12"/>
      <c r="S101" s="70">
        <v>650</v>
      </c>
      <c r="T101" s="70"/>
      <c r="U101" s="70">
        <v>1950</v>
      </c>
      <c r="V101" s="70"/>
      <c r="W101" s="71">
        <v>3289</v>
      </c>
      <c r="X101" s="71"/>
      <c r="Y101" s="71"/>
      <c r="Z101" s="71">
        <f>SUM(S101:W101)</f>
        <v>5889</v>
      </c>
      <c r="AA101" s="71"/>
      <c r="AB101" s="71"/>
      <c r="AC101" s="71"/>
      <c r="AD101" s="71"/>
      <c r="AE101" s="71"/>
      <c r="AF101" s="71"/>
      <c r="AG101" s="71"/>
      <c r="AH101" s="71"/>
      <c r="AI101" s="71"/>
      <c r="AJ101" s="71"/>
      <c r="AK101" s="72">
        <v>897183</v>
      </c>
      <c r="AL101" s="62">
        <v>3241591</v>
      </c>
      <c r="AM101" s="73">
        <f t="shared" si="28"/>
        <v>4138774</v>
      </c>
      <c r="AN101" s="166">
        <v>0</v>
      </c>
      <c r="AO101" s="158">
        <v>0</v>
      </c>
      <c r="AP101" s="594">
        <v>0</v>
      </c>
      <c r="AQ101" s="158"/>
      <c r="AR101" s="158"/>
      <c r="AS101" s="158"/>
      <c r="AT101" s="158"/>
      <c r="AU101" s="158"/>
      <c r="AV101" s="158"/>
      <c r="AW101" s="687">
        <v>0</v>
      </c>
      <c r="AX101" s="594"/>
      <c r="AY101" s="594"/>
      <c r="AZ101" s="188"/>
      <c r="BA101" s="668"/>
      <c r="BB101" s="668"/>
      <c r="BC101" s="668"/>
      <c r="BD101" s="668"/>
      <c r="BE101" s="668"/>
      <c r="BF101" s="182"/>
      <c r="BG101" s="182" t="s">
        <v>1219</v>
      </c>
      <c r="BH101" s="183">
        <v>138617</v>
      </c>
      <c r="BI101" s="179">
        <f>69308+207925</f>
        <v>277233</v>
      </c>
      <c r="BJ101" s="181">
        <f>(69308*2)+138617</f>
        <v>277233</v>
      </c>
    </row>
    <row r="102" spans="1:62" ht="92.1" customHeight="1" thickBot="1" x14ac:dyDescent="0.25">
      <c r="A102" s="41">
        <v>101</v>
      </c>
      <c r="B102" s="2" t="s">
        <v>401</v>
      </c>
      <c r="C102" s="12" t="s">
        <v>588</v>
      </c>
      <c r="D102" s="12" t="s">
        <v>574</v>
      </c>
      <c r="E102" s="12" t="s">
        <v>1250</v>
      </c>
      <c r="F102" s="3" t="s">
        <v>1026</v>
      </c>
      <c r="G102" s="12" t="s">
        <v>676</v>
      </c>
      <c r="H102" s="613" t="s">
        <v>1436</v>
      </c>
      <c r="I102" s="58" t="s">
        <v>1079</v>
      </c>
      <c r="J102" s="3" t="s">
        <v>1014</v>
      </c>
      <c r="K102" s="3" t="s">
        <v>1195</v>
      </c>
      <c r="L102" s="3" t="s">
        <v>63</v>
      </c>
      <c r="M102" s="242" t="s">
        <v>1057</v>
      </c>
      <c r="N102" s="242" t="s">
        <v>1057</v>
      </c>
      <c r="O102" s="242" t="s">
        <v>1057</v>
      </c>
      <c r="P102" s="12" t="s">
        <v>111</v>
      </c>
      <c r="Q102" s="12" t="s">
        <v>677</v>
      </c>
      <c r="R102" s="12">
        <v>9285</v>
      </c>
      <c r="S102" s="3">
        <v>4868</v>
      </c>
      <c r="T102" s="3">
        <v>9285</v>
      </c>
      <c r="U102" s="794">
        <v>4868</v>
      </c>
      <c r="V102" s="794">
        <v>9285</v>
      </c>
      <c r="W102" s="40">
        <v>4868</v>
      </c>
      <c r="X102" s="6">
        <f t="shared" ref="X102:X165" si="29">SUM(T102,V102)</f>
        <v>18570</v>
      </c>
      <c r="Y102" s="6">
        <f t="shared" ref="Y102:Y165" si="30">S102+U102</f>
        <v>9736</v>
      </c>
      <c r="Z102" s="12">
        <f t="shared" ref="Z102:Z165" si="31">SUM(S102,U102,W102)</f>
        <v>14604</v>
      </c>
      <c r="AA102" s="811">
        <v>0.73</v>
      </c>
      <c r="AB102" s="811">
        <v>0.78</v>
      </c>
      <c r="AC102" s="836">
        <f t="shared" ref="AC102:AC165" si="32">AA102*T102</f>
        <v>6778.05</v>
      </c>
      <c r="AD102" s="836">
        <f t="shared" ref="AD102:AD165" si="33">AB102*T102</f>
        <v>7242.3</v>
      </c>
      <c r="AE102" s="811">
        <v>0.73</v>
      </c>
      <c r="AF102" s="811">
        <v>0.63359999999999994</v>
      </c>
      <c r="AG102" s="836">
        <f t="shared" ref="AG102:AG165" si="34">AE102*V102</f>
        <v>6778.05</v>
      </c>
      <c r="AH102" s="836">
        <f t="shared" ref="AH102:AH125" si="35">AF102*V102</f>
        <v>5882.9759999999997</v>
      </c>
      <c r="AI102" s="794">
        <f t="shared" ref="AI102:AI165" si="36">SUM(AC102,AG102)</f>
        <v>13556.1</v>
      </c>
      <c r="AJ102" s="794">
        <f t="shared" ref="AJ102:AJ165" si="37">SUM(AD102,AH102)</f>
        <v>13125.276</v>
      </c>
      <c r="AK102" s="72">
        <v>10478249.869999999</v>
      </c>
      <c r="AL102" s="62">
        <v>1327411</v>
      </c>
      <c r="AM102" s="73">
        <f t="shared" si="28"/>
        <v>11805660.869999999</v>
      </c>
      <c r="AN102" s="166">
        <v>138617</v>
      </c>
      <c r="AO102" s="158">
        <v>277233</v>
      </c>
      <c r="AP102" s="594">
        <v>138616</v>
      </c>
      <c r="AQ102" s="614">
        <v>2366153.8296040902</v>
      </c>
      <c r="AR102" s="614">
        <v>2622443.44</v>
      </c>
      <c r="AS102" s="614">
        <v>2791708.61</v>
      </c>
      <c r="AT102" s="614">
        <v>2697943.99</v>
      </c>
      <c r="AU102" s="614">
        <v>124534.41208442599</v>
      </c>
      <c r="AV102" s="614">
        <v>277233.26</v>
      </c>
      <c r="AW102" s="779">
        <v>328848.5</v>
      </c>
      <c r="AX102" s="776">
        <v>401758</v>
      </c>
      <c r="AY102" s="776">
        <v>35152</v>
      </c>
      <c r="AZ102" s="615">
        <v>631946.98</v>
      </c>
      <c r="BA102" s="668"/>
      <c r="BB102" s="668"/>
      <c r="BC102" s="668"/>
      <c r="BD102" s="668"/>
      <c r="BE102" s="668"/>
      <c r="BF102" s="184"/>
      <c r="BG102" s="184">
        <v>0</v>
      </c>
      <c r="BH102" s="184">
        <v>132726</v>
      </c>
      <c r="BI102" s="181">
        <v>132726</v>
      </c>
      <c r="BJ102" s="181">
        <f t="shared" si="26"/>
        <v>132726</v>
      </c>
    </row>
    <row r="103" spans="1:62" ht="153.6" customHeight="1" thickBot="1" x14ac:dyDescent="0.25">
      <c r="A103" s="226">
        <v>102</v>
      </c>
      <c r="B103" s="2" t="s">
        <v>401</v>
      </c>
      <c r="C103" s="12" t="s">
        <v>589</v>
      </c>
      <c r="D103" s="12" t="s">
        <v>574</v>
      </c>
      <c r="E103" s="12" t="s">
        <v>1250</v>
      </c>
      <c r="F103" s="3" t="s">
        <v>1026</v>
      </c>
      <c r="G103" s="12" t="s">
        <v>678</v>
      </c>
      <c r="H103" s="636" t="s">
        <v>1437</v>
      </c>
      <c r="I103" s="2" t="s">
        <v>590</v>
      </c>
      <c r="J103" s="3" t="s">
        <v>1003</v>
      </c>
      <c r="K103" s="3" t="s">
        <v>591</v>
      </c>
      <c r="L103" s="3" t="s">
        <v>592</v>
      </c>
      <c r="M103" s="45">
        <v>56</v>
      </c>
      <c r="N103" s="46">
        <v>13</v>
      </c>
      <c r="O103" s="51">
        <v>0.23214299999999999</v>
      </c>
      <c r="P103" s="12" t="s">
        <v>189</v>
      </c>
      <c r="Q103" s="12" t="s">
        <v>679</v>
      </c>
      <c r="R103" s="12">
        <v>0</v>
      </c>
      <c r="S103" s="12">
        <v>66</v>
      </c>
      <c r="T103" s="12">
        <v>0</v>
      </c>
      <c r="U103" s="12">
        <v>66</v>
      </c>
      <c r="V103" s="12">
        <v>0</v>
      </c>
      <c r="W103" s="52">
        <v>66</v>
      </c>
      <c r="X103" s="6">
        <f t="shared" si="29"/>
        <v>0</v>
      </c>
      <c r="Y103" s="6">
        <f t="shared" si="30"/>
        <v>132</v>
      </c>
      <c r="Z103" s="12">
        <f t="shared" si="31"/>
        <v>198</v>
      </c>
      <c r="AA103" s="811">
        <v>1</v>
      </c>
      <c r="AB103" s="811">
        <v>0.03</v>
      </c>
      <c r="AC103" s="836">
        <f t="shared" si="32"/>
        <v>0</v>
      </c>
      <c r="AD103" s="836">
        <f t="shared" si="33"/>
        <v>0</v>
      </c>
      <c r="AE103" s="811">
        <v>1</v>
      </c>
      <c r="AF103" s="811">
        <v>0</v>
      </c>
      <c r="AG103" s="836">
        <f t="shared" si="34"/>
        <v>0</v>
      </c>
      <c r="AH103" s="836">
        <f t="shared" si="35"/>
        <v>0</v>
      </c>
      <c r="AI103" s="794">
        <f t="shared" si="36"/>
        <v>0</v>
      </c>
      <c r="AJ103" s="794">
        <f t="shared" si="37"/>
        <v>0</v>
      </c>
      <c r="AK103" s="72">
        <v>836866.31</v>
      </c>
      <c r="AL103" s="62">
        <v>585522</v>
      </c>
      <c r="AM103" s="73">
        <f t="shared" si="28"/>
        <v>1422388.31</v>
      </c>
      <c r="AN103" s="77">
        <v>132726</v>
      </c>
      <c r="AO103" s="77">
        <v>132726</v>
      </c>
      <c r="AP103" s="171">
        <v>0</v>
      </c>
      <c r="AQ103" s="638">
        <v>183160.31</v>
      </c>
      <c r="AR103" s="638">
        <v>207931.28</v>
      </c>
      <c r="AS103" s="638">
        <v>227222.64</v>
      </c>
      <c r="AT103" s="638">
        <v>218552.09</v>
      </c>
      <c r="AU103" s="638">
        <v>9640.0164983164996</v>
      </c>
      <c r="AV103" s="638">
        <v>132726.38</v>
      </c>
      <c r="AW103" s="786">
        <v>140609</v>
      </c>
      <c r="AX103" s="720">
        <v>140610</v>
      </c>
      <c r="AY103" s="720">
        <v>0</v>
      </c>
      <c r="AZ103" s="640">
        <v>302546.78999999998</v>
      </c>
      <c r="BA103" s="668"/>
      <c r="BB103" s="668"/>
      <c r="BC103" s="668"/>
      <c r="BD103" s="668"/>
      <c r="BE103" s="668"/>
      <c r="BF103" s="183"/>
      <c r="BG103" s="183">
        <v>0</v>
      </c>
      <c r="BH103" s="183">
        <f>169012*3</f>
        <v>507036</v>
      </c>
      <c r="BI103" s="180">
        <f>169012*3</f>
        <v>507036</v>
      </c>
      <c r="BJ103" s="181">
        <f t="shared" si="26"/>
        <v>507036</v>
      </c>
    </row>
    <row r="104" spans="1:62" ht="165.75" thickBot="1" x14ac:dyDescent="0.25">
      <c r="A104" s="41">
        <v>103</v>
      </c>
      <c r="B104" s="214" t="s">
        <v>79</v>
      </c>
      <c r="C104" s="212" t="s">
        <v>593</v>
      </c>
      <c r="D104" s="212" t="s">
        <v>574</v>
      </c>
      <c r="E104" s="212" t="s">
        <v>1249</v>
      </c>
      <c r="F104" s="211" t="s">
        <v>575</v>
      </c>
      <c r="G104" s="212" t="s">
        <v>680</v>
      </c>
      <c r="H104" s="636" t="s">
        <v>1438</v>
      </c>
      <c r="I104" s="214" t="s">
        <v>594</v>
      </c>
      <c r="J104" s="211" t="s">
        <v>995</v>
      </c>
      <c r="K104" s="211" t="s">
        <v>595</v>
      </c>
      <c r="L104" s="211" t="s">
        <v>209</v>
      </c>
      <c r="M104" s="227" t="s">
        <v>681</v>
      </c>
      <c r="N104" s="228" t="s">
        <v>682</v>
      </c>
      <c r="O104" s="229" t="s">
        <v>1080</v>
      </c>
      <c r="P104" s="212" t="s">
        <v>111</v>
      </c>
      <c r="Q104" s="212" t="s">
        <v>41</v>
      </c>
      <c r="R104" s="212">
        <v>69368</v>
      </c>
      <c r="S104" s="212">
        <v>16507</v>
      </c>
      <c r="T104" s="212">
        <v>69368</v>
      </c>
      <c r="U104" s="795">
        <v>16507</v>
      </c>
      <c r="V104" s="795">
        <v>69368</v>
      </c>
      <c r="W104" s="795">
        <v>16507</v>
      </c>
      <c r="X104" s="6">
        <f t="shared" si="29"/>
        <v>138736</v>
      </c>
      <c r="Y104" s="6">
        <f t="shared" si="30"/>
        <v>33014</v>
      </c>
      <c r="Z104" s="12">
        <f t="shared" si="31"/>
        <v>49521</v>
      </c>
      <c r="AA104" s="812">
        <v>0.23</v>
      </c>
      <c r="AB104" s="812">
        <v>0.18390000000000001</v>
      </c>
      <c r="AC104" s="836">
        <f t="shared" si="32"/>
        <v>15954.640000000001</v>
      </c>
      <c r="AD104" s="836">
        <f t="shared" si="33"/>
        <v>12756.7752</v>
      </c>
      <c r="AE104" s="812">
        <v>0.23</v>
      </c>
      <c r="AF104" s="812">
        <v>9.4899999999999998E-2</v>
      </c>
      <c r="AG104" s="836">
        <f t="shared" si="34"/>
        <v>15954.640000000001</v>
      </c>
      <c r="AH104" s="836">
        <f t="shared" si="35"/>
        <v>6583.0231999999996</v>
      </c>
      <c r="AI104" s="794">
        <f t="shared" si="36"/>
        <v>31909.280000000002</v>
      </c>
      <c r="AJ104" s="794">
        <f t="shared" si="37"/>
        <v>19339.7984</v>
      </c>
      <c r="AK104" s="744">
        <v>20078418.100000001</v>
      </c>
      <c r="AL104" s="230">
        <v>2377299</v>
      </c>
      <c r="AM104" s="755">
        <f t="shared" si="28"/>
        <v>22455717.100000001</v>
      </c>
      <c r="AN104" s="759">
        <v>507036</v>
      </c>
      <c r="AO104" s="759">
        <v>507036</v>
      </c>
      <c r="AP104" s="764">
        <v>0</v>
      </c>
      <c r="AQ104" s="638">
        <v>4512959</v>
      </c>
      <c r="AR104" s="638">
        <v>4874132</v>
      </c>
      <c r="AS104" s="638">
        <v>5549726</v>
      </c>
      <c r="AT104" s="638">
        <v>5141601.0999999996</v>
      </c>
      <c r="AU104" s="638">
        <v>236940</v>
      </c>
      <c r="AV104" s="638">
        <v>507033.36</v>
      </c>
      <c r="AW104" s="786">
        <v>873585.5</v>
      </c>
      <c r="AX104" s="720">
        <v>480474</v>
      </c>
      <c r="AY104" s="720">
        <v>327593</v>
      </c>
      <c r="AZ104" s="640">
        <v>1109174.2199999997</v>
      </c>
      <c r="BA104" s="669"/>
      <c r="BB104" s="669"/>
      <c r="BC104" s="669"/>
      <c r="BD104" s="669"/>
      <c r="BE104" s="669"/>
      <c r="BF104" s="182"/>
      <c r="BG104" s="182">
        <v>0</v>
      </c>
      <c r="BH104" s="182">
        <f>112674*3</f>
        <v>338022</v>
      </c>
      <c r="BI104" s="179">
        <f>112674*3</f>
        <v>338022</v>
      </c>
      <c r="BJ104" s="181">
        <f t="shared" si="26"/>
        <v>338022</v>
      </c>
    </row>
    <row r="105" spans="1:62" ht="359.45" customHeight="1" thickBot="1" x14ac:dyDescent="0.25">
      <c r="A105" s="236">
        <v>104</v>
      </c>
      <c r="B105" s="2" t="s">
        <v>79</v>
      </c>
      <c r="C105" s="12" t="s">
        <v>596</v>
      </c>
      <c r="D105" s="12" t="s">
        <v>574</v>
      </c>
      <c r="E105" s="12" t="s">
        <v>1249</v>
      </c>
      <c r="F105" s="3" t="s">
        <v>575</v>
      </c>
      <c r="G105" s="12" t="s">
        <v>683</v>
      </c>
      <c r="H105" s="701" t="s">
        <v>1439</v>
      </c>
      <c r="I105" s="2" t="s">
        <v>597</v>
      </c>
      <c r="J105" s="3" t="s">
        <v>992</v>
      </c>
      <c r="K105" s="3" t="s">
        <v>1196</v>
      </c>
      <c r="L105" s="3" t="s">
        <v>209</v>
      </c>
      <c r="M105" s="45" t="s">
        <v>684</v>
      </c>
      <c r="N105" s="46" t="s">
        <v>685</v>
      </c>
      <c r="O105" s="51" t="s">
        <v>1081</v>
      </c>
      <c r="P105" s="12" t="s">
        <v>111</v>
      </c>
      <c r="Q105" s="12" t="s">
        <v>686</v>
      </c>
      <c r="R105" s="12">
        <v>0</v>
      </c>
      <c r="S105" s="12">
        <v>5766</v>
      </c>
      <c r="T105" s="12">
        <v>0</v>
      </c>
      <c r="U105" s="52">
        <v>5766</v>
      </c>
      <c r="V105" s="52">
        <v>0</v>
      </c>
      <c r="W105" s="52">
        <v>5766</v>
      </c>
      <c r="X105" s="6">
        <f t="shared" si="29"/>
        <v>0</v>
      </c>
      <c r="Y105" s="6">
        <f t="shared" si="30"/>
        <v>11532</v>
      </c>
      <c r="Z105" s="12">
        <f t="shared" si="31"/>
        <v>17298</v>
      </c>
      <c r="AA105" s="811">
        <v>0</v>
      </c>
      <c r="AB105" s="811" t="s">
        <v>1553</v>
      </c>
      <c r="AC105" s="836">
        <f t="shared" si="32"/>
        <v>0</v>
      </c>
      <c r="AD105" s="836" t="e">
        <f t="shared" si="33"/>
        <v>#VALUE!</v>
      </c>
      <c r="AE105" s="811">
        <v>0.25</v>
      </c>
      <c r="AF105" s="811">
        <v>0.53659999999999997</v>
      </c>
      <c r="AG105" s="836">
        <f t="shared" si="34"/>
        <v>0</v>
      </c>
      <c r="AH105" s="836">
        <f t="shared" si="35"/>
        <v>0</v>
      </c>
      <c r="AI105" s="794">
        <f t="shared" si="36"/>
        <v>0</v>
      </c>
      <c r="AJ105" s="794">
        <v>0</v>
      </c>
      <c r="AK105" s="72">
        <v>17111108</v>
      </c>
      <c r="AL105" s="62">
        <v>1426905</v>
      </c>
      <c r="AM105" s="73">
        <f t="shared" si="28"/>
        <v>18538013</v>
      </c>
      <c r="AN105" s="158">
        <v>338022</v>
      </c>
      <c r="AO105" s="158">
        <v>338022</v>
      </c>
      <c r="AP105" s="594">
        <v>0</v>
      </c>
      <c r="AQ105" s="224" t="s">
        <v>1336</v>
      </c>
      <c r="AR105" s="645">
        <v>5925925</v>
      </c>
      <c r="AS105" s="645">
        <v>5925925</v>
      </c>
      <c r="AT105" s="645">
        <v>5259258</v>
      </c>
      <c r="AU105" s="224" t="s">
        <v>1336</v>
      </c>
      <c r="AV105" s="645">
        <v>338022.24</v>
      </c>
      <c r="AW105" s="784">
        <v>349434.02999999997</v>
      </c>
      <c r="AX105" s="785">
        <v>247516</v>
      </c>
      <c r="AY105" s="785">
        <v>101918</v>
      </c>
      <c r="AZ105" s="664">
        <v>739449.47999999986</v>
      </c>
      <c r="BA105" s="668"/>
      <c r="BB105" s="668"/>
      <c r="BC105" s="668"/>
      <c r="BD105" s="668"/>
      <c r="BE105" s="668"/>
      <c r="BF105" s="182"/>
      <c r="BG105" s="182">
        <v>0</v>
      </c>
      <c r="BH105" s="182">
        <f>56338*3</f>
        <v>169014</v>
      </c>
      <c r="BI105" s="179">
        <f>56338*3</f>
        <v>169014</v>
      </c>
      <c r="BJ105" s="181">
        <f t="shared" si="26"/>
        <v>169014</v>
      </c>
    </row>
    <row r="106" spans="1:62" ht="165" customHeight="1" thickBot="1" x14ac:dyDescent="0.25">
      <c r="A106" s="41">
        <v>105</v>
      </c>
      <c r="B106" s="209" t="s">
        <v>79</v>
      </c>
      <c r="C106" s="157" t="s">
        <v>598</v>
      </c>
      <c r="D106" s="157" t="s">
        <v>574</v>
      </c>
      <c r="E106" s="157" t="s">
        <v>1251</v>
      </c>
      <c r="F106" s="156" t="s">
        <v>1027</v>
      </c>
      <c r="G106" s="157" t="s">
        <v>687</v>
      </c>
      <c r="H106" s="636" t="s">
        <v>1440</v>
      </c>
      <c r="I106" s="209" t="s">
        <v>599</v>
      </c>
      <c r="J106" s="156" t="s">
        <v>992</v>
      </c>
      <c r="K106" s="156" t="s">
        <v>600</v>
      </c>
      <c r="L106" s="156" t="s">
        <v>83</v>
      </c>
      <c r="M106" s="231" t="s">
        <v>688</v>
      </c>
      <c r="N106" s="232" t="s">
        <v>689</v>
      </c>
      <c r="O106" s="233" t="s">
        <v>690</v>
      </c>
      <c r="P106" s="157" t="s">
        <v>111</v>
      </c>
      <c r="Q106" s="157" t="s">
        <v>691</v>
      </c>
      <c r="R106" s="157">
        <v>0</v>
      </c>
      <c r="S106" s="156">
        <v>7200</v>
      </c>
      <c r="T106" s="156">
        <v>0</v>
      </c>
      <c r="U106" s="156">
        <v>7200</v>
      </c>
      <c r="V106" s="156">
        <v>0</v>
      </c>
      <c r="W106" s="796">
        <v>7200</v>
      </c>
      <c r="X106" s="6">
        <f t="shared" si="29"/>
        <v>0</v>
      </c>
      <c r="Y106" s="6">
        <f t="shared" si="30"/>
        <v>14400</v>
      </c>
      <c r="Z106" s="12">
        <f t="shared" si="31"/>
        <v>21600</v>
      </c>
      <c r="AA106" s="815">
        <v>0.23</v>
      </c>
      <c r="AB106" s="815">
        <v>0.72730000000000006</v>
      </c>
      <c r="AC106" s="836">
        <f t="shared" si="32"/>
        <v>0</v>
      </c>
      <c r="AD106" s="836">
        <f t="shared" si="33"/>
        <v>0</v>
      </c>
      <c r="AE106" s="815">
        <v>0.23</v>
      </c>
      <c r="AF106" s="815">
        <v>0.72849999999999993</v>
      </c>
      <c r="AG106" s="836">
        <f t="shared" si="34"/>
        <v>0</v>
      </c>
      <c r="AH106" s="836">
        <f t="shared" si="35"/>
        <v>0</v>
      </c>
      <c r="AI106" s="794">
        <f t="shared" si="36"/>
        <v>0</v>
      </c>
      <c r="AJ106" s="794">
        <f t="shared" si="37"/>
        <v>0</v>
      </c>
      <c r="AK106" s="237">
        <v>7351956.5999999996</v>
      </c>
      <c r="AL106" s="238">
        <v>801677</v>
      </c>
      <c r="AM106" s="239">
        <f t="shared" si="28"/>
        <v>8153633.5999999996</v>
      </c>
      <c r="AN106" s="224">
        <v>169014</v>
      </c>
      <c r="AO106" s="224">
        <v>169014</v>
      </c>
      <c r="AP106" s="597">
        <v>0</v>
      </c>
      <c r="AQ106" s="638">
        <v>1676230</v>
      </c>
      <c r="AR106" s="638">
        <v>1740674.5</v>
      </c>
      <c r="AS106" s="638">
        <v>1966104</v>
      </c>
      <c r="AT106" s="638">
        <v>1968948.1</v>
      </c>
      <c r="AU106" s="638">
        <v>88223</v>
      </c>
      <c r="AV106" s="638">
        <v>169011.12</v>
      </c>
      <c r="AW106" s="786">
        <v>174717.03</v>
      </c>
      <c r="AX106" s="720">
        <v>174717</v>
      </c>
      <c r="AY106" s="720">
        <v>0</v>
      </c>
      <c r="AZ106" s="640">
        <v>369724.73999999993</v>
      </c>
      <c r="BA106" s="668"/>
      <c r="BB106" s="668"/>
      <c r="BC106" s="668"/>
      <c r="BD106" s="668"/>
      <c r="BE106" s="668"/>
      <c r="BF106" s="182"/>
      <c r="BG106" s="182">
        <v>0</v>
      </c>
      <c r="BH106" s="182">
        <f>169012*3</f>
        <v>507036</v>
      </c>
      <c r="BI106" s="179">
        <f>169012*3</f>
        <v>507036</v>
      </c>
      <c r="BJ106" s="181">
        <f t="shared" si="26"/>
        <v>507036</v>
      </c>
    </row>
    <row r="107" spans="1:62" ht="165.6" customHeight="1" thickBot="1" x14ac:dyDescent="0.25">
      <c r="A107" s="41">
        <v>106</v>
      </c>
      <c r="B107" s="2" t="s">
        <v>79</v>
      </c>
      <c r="C107" s="12" t="s">
        <v>601</v>
      </c>
      <c r="D107" s="12" t="s">
        <v>574</v>
      </c>
      <c r="E107" s="12" t="s">
        <v>1251</v>
      </c>
      <c r="F107" s="3" t="s">
        <v>1027</v>
      </c>
      <c r="G107" s="12" t="s">
        <v>692</v>
      </c>
      <c r="H107" s="636" t="s">
        <v>1441</v>
      </c>
      <c r="I107" s="2" t="s">
        <v>602</v>
      </c>
      <c r="J107" s="3" t="s">
        <v>992</v>
      </c>
      <c r="K107" s="3" t="s">
        <v>603</v>
      </c>
      <c r="L107" s="3" t="s">
        <v>209</v>
      </c>
      <c r="M107" s="45" t="s">
        <v>693</v>
      </c>
      <c r="N107" s="46" t="s">
        <v>694</v>
      </c>
      <c r="O107" s="51" t="s">
        <v>1082</v>
      </c>
      <c r="P107" s="12" t="s">
        <v>111</v>
      </c>
      <c r="Q107" s="12" t="s">
        <v>695</v>
      </c>
      <c r="R107" s="12">
        <v>0</v>
      </c>
      <c r="S107" s="12">
        <v>18000</v>
      </c>
      <c r="T107" s="12">
        <v>0</v>
      </c>
      <c r="U107" s="12">
        <v>18000</v>
      </c>
      <c r="V107" s="12">
        <v>0</v>
      </c>
      <c r="W107" s="52">
        <v>18000</v>
      </c>
      <c r="X107" s="6">
        <f t="shared" si="29"/>
        <v>0</v>
      </c>
      <c r="Y107" s="6">
        <f t="shared" si="30"/>
        <v>36000</v>
      </c>
      <c r="Z107" s="12">
        <f t="shared" si="31"/>
        <v>54000</v>
      </c>
      <c r="AA107" s="811">
        <v>0.4</v>
      </c>
      <c r="AB107" s="811">
        <v>0.42000000000000004</v>
      </c>
      <c r="AC107" s="836">
        <f t="shared" si="32"/>
        <v>0</v>
      </c>
      <c r="AD107" s="836">
        <f t="shared" si="33"/>
        <v>0</v>
      </c>
      <c r="AE107" s="811">
        <v>0.4</v>
      </c>
      <c r="AF107" s="811">
        <v>0.33999999999999997</v>
      </c>
      <c r="AG107" s="836">
        <f t="shared" si="34"/>
        <v>0</v>
      </c>
      <c r="AH107" s="836">
        <f t="shared" si="35"/>
        <v>0</v>
      </c>
      <c r="AI107" s="794">
        <f t="shared" si="36"/>
        <v>0</v>
      </c>
      <c r="AJ107" s="794">
        <f t="shared" si="37"/>
        <v>0</v>
      </c>
      <c r="AK107" s="72">
        <v>11377187.6</v>
      </c>
      <c r="AL107" s="62">
        <v>2276474</v>
      </c>
      <c r="AM107" s="73">
        <f t="shared" si="28"/>
        <v>13653661.6</v>
      </c>
      <c r="AN107" s="158">
        <v>507036</v>
      </c>
      <c r="AO107" s="158">
        <v>507036</v>
      </c>
      <c r="AP107" s="594">
        <v>0</v>
      </c>
      <c r="AQ107" s="638">
        <v>2586183</v>
      </c>
      <c r="AR107" s="638">
        <v>2766937.5</v>
      </c>
      <c r="AS107" s="638">
        <v>3033417</v>
      </c>
      <c r="AT107" s="638">
        <v>2990650.1</v>
      </c>
      <c r="AU107" s="638">
        <v>136115</v>
      </c>
      <c r="AV107" s="638">
        <v>507033.36</v>
      </c>
      <c r="AW107" s="786">
        <v>436792.5</v>
      </c>
      <c r="AX107" s="720">
        <v>305757</v>
      </c>
      <c r="AY107" s="720">
        <v>131038</v>
      </c>
      <c r="AZ107" s="640">
        <v>1109174.2199999997</v>
      </c>
      <c r="BA107" s="668"/>
      <c r="BB107" s="668"/>
      <c r="BC107" s="668"/>
      <c r="BD107" s="668"/>
      <c r="BE107" s="668"/>
      <c r="BF107" s="182"/>
      <c r="BG107" s="182">
        <v>0</v>
      </c>
      <c r="BH107" s="182">
        <f>169012*3</f>
        <v>507036</v>
      </c>
      <c r="BI107" s="179">
        <f t="shared" ref="BI107:BI108" si="38">169012*3</f>
        <v>507036</v>
      </c>
      <c r="BJ107" s="181">
        <f t="shared" si="26"/>
        <v>507036</v>
      </c>
    </row>
    <row r="108" spans="1:62" ht="94.5" customHeight="1" thickBot="1" x14ac:dyDescent="0.25">
      <c r="A108" s="41">
        <v>107</v>
      </c>
      <c r="B108" s="2" t="s">
        <v>79</v>
      </c>
      <c r="C108" s="12" t="s">
        <v>604</v>
      </c>
      <c r="D108" s="12" t="s">
        <v>574</v>
      </c>
      <c r="E108" s="12" t="s">
        <v>1249</v>
      </c>
      <c r="F108" s="3" t="s">
        <v>575</v>
      </c>
      <c r="G108" s="12" t="s">
        <v>696</v>
      </c>
      <c r="H108" s="636" t="s">
        <v>1442</v>
      </c>
      <c r="I108" s="2" t="s">
        <v>605</v>
      </c>
      <c r="J108" s="3" t="s">
        <v>992</v>
      </c>
      <c r="K108" s="3" t="s">
        <v>606</v>
      </c>
      <c r="L108" s="3" t="s">
        <v>209</v>
      </c>
      <c r="M108" s="45" t="s">
        <v>697</v>
      </c>
      <c r="N108" s="46" t="s">
        <v>698</v>
      </c>
      <c r="O108" s="51" t="s">
        <v>1083</v>
      </c>
      <c r="P108" s="12" t="s">
        <v>111</v>
      </c>
      <c r="Q108" s="12" t="s">
        <v>671</v>
      </c>
      <c r="R108" s="12">
        <v>0</v>
      </c>
      <c r="S108" s="3">
        <v>19116</v>
      </c>
      <c r="T108" s="3">
        <v>0</v>
      </c>
      <c r="U108" s="3">
        <v>19116</v>
      </c>
      <c r="V108" s="3">
        <v>0</v>
      </c>
      <c r="W108" s="52">
        <v>19116</v>
      </c>
      <c r="X108" s="6">
        <f t="shared" si="29"/>
        <v>0</v>
      </c>
      <c r="Y108" s="6">
        <f t="shared" si="30"/>
        <v>38232</v>
      </c>
      <c r="Z108" s="12">
        <f t="shared" si="31"/>
        <v>57348</v>
      </c>
      <c r="AA108" s="811">
        <v>0.34</v>
      </c>
      <c r="AB108" s="811">
        <v>0</v>
      </c>
      <c r="AC108" s="836">
        <f t="shared" si="32"/>
        <v>0</v>
      </c>
      <c r="AD108" s="836">
        <f t="shared" si="33"/>
        <v>0</v>
      </c>
      <c r="AE108" s="811">
        <v>0.34</v>
      </c>
      <c r="AF108" s="811">
        <v>0.41299999999999998</v>
      </c>
      <c r="AG108" s="836">
        <f t="shared" si="34"/>
        <v>0</v>
      </c>
      <c r="AH108" s="836">
        <f t="shared" si="35"/>
        <v>0</v>
      </c>
      <c r="AI108" s="794">
        <f t="shared" si="36"/>
        <v>0</v>
      </c>
      <c r="AJ108" s="794">
        <f t="shared" si="37"/>
        <v>0</v>
      </c>
      <c r="AK108" s="72">
        <v>17971851</v>
      </c>
      <c r="AL108" s="62">
        <v>2357136</v>
      </c>
      <c r="AM108" s="73">
        <f t="shared" si="28"/>
        <v>20328987</v>
      </c>
      <c r="AN108" s="158">
        <v>507036</v>
      </c>
      <c r="AO108" s="158">
        <v>507036</v>
      </c>
      <c r="AP108" s="684">
        <v>0</v>
      </c>
      <c r="AQ108" s="638">
        <v>4030436</v>
      </c>
      <c r="AR108" s="638">
        <v>4399006</v>
      </c>
      <c r="AS108" s="638">
        <v>4830998</v>
      </c>
      <c r="AT108" s="638">
        <v>4711411</v>
      </c>
      <c r="AU108" s="638">
        <v>216777</v>
      </c>
      <c r="AV108" s="638">
        <v>507033.36</v>
      </c>
      <c r="AW108" s="786">
        <v>436792.5</v>
      </c>
      <c r="AX108" s="720">
        <v>0</v>
      </c>
      <c r="AY108" s="720">
        <v>436792.5</v>
      </c>
      <c r="AZ108" s="640">
        <v>1109174.2199999997</v>
      </c>
      <c r="BA108" s="668"/>
      <c r="BB108" s="668"/>
      <c r="BC108" s="668"/>
      <c r="BD108" s="668"/>
      <c r="BE108" s="668"/>
      <c r="BF108" s="182"/>
      <c r="BG108" s="182">
        <v>0</v>
      </c>
      <c r="BH108" s="182">
        <f>169012*3</f>
        <v>507036</v>
      </c>
      <c r="BI108" s="179">
        <f t="shared" si="38"/>
        <v>507036</v>
      </c>
      <c r="BJ108" s="181">
        <f t="shared" si="26"/>
        <v>507036</v>
      </c>
    </row>
    <row r="109" spans="1:62" ht="180.75" thickBot="1" x14ac:dyDescent="0.25">
      <c r="A109" s="41">
        <v>108</v>
      </c>
      <c r="B109" s="2" t="s">
        <v>79</v>
      </c>
      <c r="C109" s="12" t="s">
        <v>607</v>
      </c>
      <c r="D109" s="12" t="s">
        <v>574</v>
      </c>
      <c r="E109" s="12" t="s">
        <v>1249</v>
      </c>
      <c r="F109" s="3" t="s">
        <v>575</v>
      </c>
      <c r="G109" s="12" t="s">
        <v>699</v>
      </c>
      <c r="H109" s="636" t="s">
        <v>1443</v>
      </c>
      <c r="I109" s="2" t="s">
        <v>608</v>
      </c>
      <c r="J109" s="3" t="s">
        <v>992</v>
      </c>
      <c r="K109" s="3" t="s">
        <v>609</v>
      </c>
      <c r="L109" s="3" t="s">
        <v>209</v>
      </c>
      <c r="M109" s="45" t="s">
        <v>700</v>
      </c>
      <c r="N109" s="46" t="s">
        <v>701</v>
      </c>
      <c r="O109" s="51" t="s">
        <v>1084</v>
      </c>
      <c r="P109" s="12" t="s">
        <v>111</v>
      </c>
      <c r="Q109" s="12" t="s">
        <v>41</v>
      </c>
      <c r="R109" s="12">
        <v>0</v>
      </c>
      <c r="S109" s="3">
        <v>19116</v>
      </c>
      <c r="T109" s="3">
        <v>0</v>
      </c>
      <c r="U109" s="3">
        <v>19116</v>
      </c>
      <c r="V109" s="3">
        <v>0</v>
      </c>
      <c r="W109" s="52">
        <v>19116</v>
      </c>
      <c r="X109" s="6">
        <f t="shared" si="29"/>
        <v>0</v>
      </c>
      <c r="Y109" s="6">
        <f t="shared" si="30"/>
        <v>38232</v>
      </c>
      <c r="Z109" s="12">
        <f t="shared" si="31"/>
        <v>57348</v>
      </c>
      <c r="AA109" s="811">
        <v>0.23</v>
      </c>
      <c r="AB109" s="811">
        <v>0</v>
      </c>
      <c r="AC109" s="836">
        <f t="shared" si="32"/>
        <v>0</v>
      </c>
      <c r="AD109" s="836">
        <f t="shared" si="33"/>
        <v>0</v>
      </c>
      <c r="AE109" s="811">
        <v>0.23</v>
      </c>
      <c r="AF109" s="811">
        <v>0.52089999999999992</v>
      </c>
      <c r="AG109" s="836">
        <f t="shared" si="34"/>
        <v>0</v>
      </c>
      <c r="AH109" s="836">
        <f t="shared" si="35"/>
        <v>0</v>
      </c>
      <c r="AI109" s="794">
        <f t="shared" si="36"/>
        <v>0</v>
      </c>
      <c r="AJ109" s="794">
        <f t="shared" si="37"/>
        <v>0</v>
      </c>
      <c r="AK109" s="72">
        <v>18267521</v>
      </c>
      <c r="AL109" s="62">
        <v>2353727</v>
      </c>
      <c r="AM109" s="73">
        <f t="shared" si="28"/>
        <v>20621248</v>
      </c>
      <c r="AN109" s="158">
        <v>507036</v>
      </c>
      <c r="AO109" s="158">
        <v>507036</v>
      </c>
      <c r="AP109" s="594">
        <v>0</v>
      </c>
      <c r="AQ109" s="639">
        <v>4053969</v>
      </c>
      <c r="AR109" s="638">
        <v>4549814</v>
      </c>
      <c r="AS109" s="638">
        <v>4923537</v>
      </c>
      <c r="AT109" s="638">
        <v>4740201</v>
      </c>
      <c r="AU109" s="680">
        <v>213368</v>
      </c>
      <c r="AV109" s="638">
        <v>507033.36</v>
      </c>
      <c r="AW109" s="786">
        <v>436792.5</v>
      </c>
      <c r="AX109" s="720">
        <v>0</v>
      </c>
      <c r="AY109" s="720">
        <v>436792.5</v>
      </c>
      <c r="AZ109" s="640">
        <v>1109174.2199999997</v>
      </c>
      <c r="BA109" s="669"/>
      <c r="BB109" s="669"/>
      <c r="BC109" s="669"/>
      <c r="BD109" s="669"/>
      <c r="BE109" s="669"/>
      <c r="BF109" s="184"/>
      <c r="BG109" s="184">
        <v>0</v>
      </c>
      <c r="BH109" s="184">
        <v>169012</v>
      </c>
      <c r="BI109" s="181">
        <v>169012</v>
      </c>
      <c r="BJ109" s="181">
        <f t="shared" si="26"/>
        <v>169012</v>
      </c>
    </row>
    <row r="110" spans="1:62" ht="60.95" customHeight="1" thickBot="1" x14ac:dyDescent="0.25">
      <c r="A110" s="41">
        <v>109</v>
      </c>
      <c r="B110" s="2" t="s">
        <v>79</v>
      </c>
      <c r="C110" s="12" t="s">
        <v>610</v>
      </c>
      <c r="D110" s="12" t="s">
        <v>1023</v>
      </c>
      <c r="E110" s="12" t="s">
        <v>1238</v>
      </c>
      <c r="F110" s="3" t="s">
        <v>75</v>
      </c>
      <c r="G110" s="12" t="s">
        <v>702</v>
      </c>
      <c r="H110" s="607" t="s">
        <v>1444</v>
      </c>
      <c r="I110" s="2" t="s">
        <v>611</v>
      </c>
      <c r="J110" s="3" t="s">
        <v>995</v>
      </c>
      <c r="K110" s="3" t="s">
        <v>454</v>
      </c>
      <c r="L110" s="3" t="s">
        <v>10</v>
      </c>
      <c r="M110" s="45">
        <v>91</v>
      </c>
      <c r="N110" s="46">
        <v>51</v>
      </c>
      <c r="O110" s="15">
        <v>0.56044000000000005</v>
      </c>
      <c r="P110" s="12" t="s">
        <v>189</v>
      </c>
      <c r="Q110" s="12"/>
      <c r="R110" s="12">
        <v>0</v>
      </c>
      <c r="S110" s="3">
        <v>0</v>
      </c>
      <c r="T110" s="3">
        <v>0</v>
      </c>
      <c r="U110" s="3">
        <v>1600</v>
      </c>
      <c r="V110" s="3">
        <v>1958</v>
      </c>
      <c r="W110" s="52">
        <v>1600</v>
      </c>
      <c r="X110" s="6">
        <f t="shared" si="29"/>
        <v>1958</v>
      </c>
      <c r="Y110" s="6">
        <f t="shared" si="30"/>
        <v>1600</v>
      </c>
      <c r="Z110" s="12">
        <f t="shared" si="31"/>
        <v>3200</v>
      </c>
      <c r="AA110" s="811">
        <v>0</v>
      </c>
      <c r="AB110" s="811" t="s">
        <v>1553</v>
      </c>
      <c r="AC110" s="836">
        <f t="shared" si="32"/>
        <v>0</v>
      </c>
      <c r="AD110" s="836">
        <v>0</v>
      </c>
      <c r="AE110" s="811">
        <v>0.25</v>
      </c>
      <c r="AF110" s="811">
        <v>0.73309999999999997</v>
      </c>
      <c r="AG110" s="836">
        <f t="shared" si="34"/>
        <v>489.5</v>
      </c>
      <c r="AH110" s="836">
        <f t="shared" si="35"/>
        <v>1435.4097999999999</v>
      </c>
      <c r="AI110" s="794">
        <f t="shared" si="36"/>
        <v>489.5</v>
      </c>
      <c r="AJ110" s="794">
        <f t="shared" si="37"/>
        <v>1435.4097999999999</v>
      </c>
      <c r="AK110" s="72">
        <v>14758757</v>
      </c>
      <c r="AL110" s="62">
        <v>713453</v>
      </c>
      <c r="AM110" s="73">
        <f t="shared" si="28"/>
        <v>15472210</v>
      </c>
      <c r="AN110" s="127">
        <v>169012</v>
      </c>
      <c r="AO110" s="77">
        <v>169012</v>
      </c>
      <c r="AP110" s="171">
        <v>0</v>
      </c>
      <c r="AQ110" s="647" t="s">
        <v>1336</v>
      </c>
      <c r="AR110" s="645">
        <v>5111258</v>
      </c>
      <c r="AS110" s="645">
        <v>5111258</v>
      </c>
      <c r="AT110" s="645">
        <v>4536241</v>
      </c>
      <c r="AU110" s="647" t="s">
        <v>1336</v>
      </c>
      <c r="AV110" s="645">
        <v>169011.12</v>
      </c>
      <c r="AW110" s="784">
        <v>174717.02</v>
      </c>
      <c r="AX110" s="785">
        <v>174718</v>
      </c>
      <c r="AY110" s="785">
        <v>0</v>
      </c>
      <c r="AZ110" s="664">
        <v>369724.73999999993</v>
      </c>
      <c r="BA110" s="668"/>
      <c r="BB110" s="668"/>
      <c r="BC110" s="668"/>
      <c r="BD110" s="668"/>
      <c r="BE110" s="668"/>
      <c r="BF110" s="184"/>
      <c r="BG110" s="184">
        <v>90495</v>
      </c>
      <c r="BH110" s="184">
        <v>86228</v>
      </c>
      <c r="BI110" s="181">
        <v>172456</v>
      </c>
      <c r="BJ110" s="181">
        <f t="shared" si="26"/>
        <v>176723</v>
      </c>
    </row>
    <row r="111" spans="1:62" ht="150.6" customHeight="1" thickBot="1" x14ac:dyDescent="0.25">
      <c r="A111" s="41">
        <v>110</v>
      </c>
      <c r="B111" s="2" t="s">
        <v>261</v>
      </c>
      <c r="C111" s="12" t="s">
        <v>612</v>
      </c>
      <c r="D111" s="12" t="s">
        <v>574</v>
      </c>
      <c r="E111" s="12" t="s">
        <v>1251</v>
      </c>
      <c r="F111" s="3" t="s">
        <v>575</v>
      </c>
      <c r="G111" s="12" t="s">
        <v>703</v>
      </c>
      <c r="H111" s="636" t="s">
        <v>1445</v>
      </c>
      <c r="I111" s="2" t="s">
        <v>613</v>
      </c>
      <c r="J111" s="12" t="s">
        <v>995</v>
      </c>
      <c r="K111" s="3" t="s">
        <v>614</v>
      </c>
      <c r="L111" s="3" t="s">
        <v>10</v>
      </c>
      <c r="M111" s="242" t="s">
        <v>34</v>
      </c>
      <c r="N111" s="242" t="s">
        <v>34</v>
      </c>
      <c r="O111" s="240" t="s">
        <v>34</v>
      </c>
      <c r="P111" s="12" t="s">
        <v>111</v>
      </c>
      <c r="Q111" s="12" t="s">
        <v>704</v>
      </c>
      <c r="R111" s="12">
        <v>0</v>
      </c>
      <c r="S111" s="12">
        <v>3660</v>
      </c>
      <c r="T111" s="12">
        <v>0</v>
      </c>
      <c r="U111" s="12">
        <v>3660</v>
      </c>
      <c r="V111" s="12">
        <v>0</v>
      </c>
      <c r="W111" s="52">
        <v>3660</v>
      </c>
      <c r="X111" s="6">
        <f t="shared" si="29"/>
        <v>0</v>
      </c>
      <c r="Y111" s="6">
        <f t="shared" si="30"/>
        <v>7320</v>
      </c>
      <c r="Z111" s="12">
        <f t="shared" si="31"/>
        <v>10980</v>
      </c>
      <c r="AA111" s="811">
        <v>0</v>
      </c>
      <c r="AB111" s="811" t="s">
        <v>1553</v>
      </c>
      <c r="AC111" s="836">
        <f t="shared" si="32"/>
        <v>0</v>
      </c>
      <c r="AD111" s="836">
        <v>0</v>
      </c>
      <c r="AE111" s="811">
        <v>0.33</v>
      </c>
      <c r="AF111" s="811">
        <v>0.74790000000000001</v>
      </c>
      <c r="AG111" s="836">
        <f t="shared" si="34"/>
        <v>0</v>
      </c>
      <c r="AH111" s="836">
        <f t="shared" si="35"/>
        <v>0</v>
      </c>
      <c r="AI111" s="794">
        <f t="shared" si="36"/>
        <v>0</v>
      </c>
      <c r="AJ111" s="794">
        <f t="shared" si="37"/>
        <v>0</v>
      </c>
      <c r="AK111" s="72">
        <v>2331339.09</v>
      </c>
      <c r="AL111" s="62">
        <v>1043199</v>
      </c>
      <c r="AM111" s="73">
        <f t="shared" si="28"/>
        <v>3374538.09</v>
      </c>
      <c r="AN111" s="127">
        <v>86228</v>
      </c>
      <c r="AO111" s="77">
        <v>172456</v>
      </c>
      <c r="AP111" s="171">
        <v>86228</v>
      </c>
      <c r="AQ111" s="638">
        <v>570162.86512185901</v>
      </c>
      <c r="AR111" s="638">
        <v>622017.06000000006</v>
      </c>
      <c r="AS111" s="638">
        <v>623825.25</v>
      </c>
      <c r="AT111" s="638">
        <v>515333.9</v>
      </c>
      <c r="AU111" s="638">
        <v>85880</v>
      </c>
      <c r="AV111" s="638">
        <v>172455.87200000961</v>
      </c>
      <c r="AW111" s="786">
        <v>250617.71159999742</v>
      </c>
      <c r="AX111" s="720">
        <v>250618</v>
      </c>
      <c r="AY111" s="720">
        <v>0</v>
      </c>
      <c r="AZ111" s="640">
        <v>534244.73700799595</v>
      </c>
      <c r="BA111" s="668"/>
      <c r="BB111" s="668"/>
      <c r="BC111" s="668"/>
      <c r="BD111" s="668"/>
      <c r="BE111" s="668"/>
      <c r="BF111" s="182"/>
      <c r="BG111" s="182">
        <v>0</v>
      </c>
      <c r="BH111" s="183">
        <v>35736</v>
      </c>
      <c r="BI111" s="244">
        <f>71472+23824</f>
        <v>95296</v>
      </c>
      <c r="BJ111" s="245">
        <f t="shared" si="26"/>
        <v>35736</v>
      </c>
    </row>
    <row r="112" spans="1:62" ht="329.45" customHeight="1" thickBot="1" x14ac:dyDescent="0.25">
      <c r="A112" s="41">
        <v>111</v>
      </c>
      <c r="B112" s="2" t="s">
        <v>615</v>
      </c>
      <c r="C112" s="12" t="s">
        <v>616</v>
      </c>
      <c r="D112" s="12" t="s">
        <v>574</v>
      </c>
      <c r="E112" s="12" t="s">
        <v>1249</v>
      </c>
      <c r="F112" s="3" t="s">
        <v>575</v>
      </c>
      <c r="G112" s="12" t="s">
        <v>705</v>
      </c>
      <c r="H112" s="677" t="s">
        <v>1446</v>
      </c>
      <c r="I112" s="58" t="s">
        <v>1085</v>
      </c>
      <c r="J112" s="3" t="s">
        <v>1014</v>
      </c>
      <c r="K112" s="3" t="s">
        <v>1188</v>
      </c>
      <c r="L112" s="3" t="s">
        <v>63</v>
      </c>
      <c r="M112" s="59" t="s">
        <v>34</v>
      </c>
      <c r="N112" s="59" t="s">
        <v>34</v>
      </c>
      <c r="O112" s="12" t="s">
        <v>34</v>
      </c>
      <c r="P112" s="12" t="s">
        <v>111</v>
      </c>
      <c r="Q112" s="12" t="s">
        <v>706</v>
      </c>
      <c r="R112" s="12">
        <v>0</v>
      </c>
      <c r="S112" s="12">
        <v>1500</v>
      </c>
      <c r="T112" s="12">
        <v>0</v>
      </c>
      <c r="U112" s="12">
        <v>1500</v>
      </c>
      <c r="V112" s="12">
        <v>0</v>
      </c>
      <c r="W112" s="12">
        <v>1500</v>
      </c>
      <c r="X112" s="6">
        <f t="shared" si="29"/>
        <v>0</v>
      </c>
      <c r="Y112" s="6">
        <f t="shared" si="30"/>
        <v>3000</v>
      </c>
      <c r="Z112" s="12">
        <f t="shared" si="31"/>
        <v>4500</v>
      </c>
      <c r="AA112" s="811">
        <v>0.22</v>
      </c>
      <c r="AB112" s="811">
        <v>0.51490000000000002</v>
      </c>
      <c r="AC112" s="836">
        <f t="shared" si="32"/>
        <v>0</v>
      </c>
      <c r="AD112" s="836">
        <f t="shared" si="33"/>
        <v>0</v>
      </c>
      <c r="AE112" s="811">
        <v>0.22</v>
      </c>
      <c r="AF112" s="811">
        <v>0.61959999999999993</v>
      </c>
      <c r="AG112" s="836">
        <f t="shared" si="34"/>
        <v>0</v>
      </c>
      <c r="AH112" s="836">
        <f t="shared" si="35"/>
        <v>0</v>
      </c>
      <c r="AI112" s="794">
        <f t="shared" si="36"/>
        <v>0</v>
      </c>
      <c r="AJ112" s="794">
        <f t="shared" si="37"/>
        <v>0</v>
      </c>
      <c r="AK112" s="72">
        <v>2192047</v>
      </c>
      <c r="AL112" s="62">
        <v>678156</v>
      </c>
      <c r="AM112" s="73">
        <f t="shared" si="28"/>
        <v>2870203</v>
      </c>
      <c r="AN112" s="158">
        <v>35736</v>
      </c>
      <c r="AO112" s="158">
        <v>107208</v>
      </c>
      <c r="AP112" s="594">
        <v>71472</v>
      </c>
      <c r="AQ112" s="614">
        <v>517792</v>
      </c>
      <c r="AR112" s="614">
        <v>583978</v>
      </c>
      <c r="AS112" s="614">
        <v>598273</v>
      </c>
      <c r="AT112" s="614">
        <v>492004</v>
      </c>
      <c r="AU112" s="614">
        <v>60917</v>
      </c>
      <c r="AV112" s="614">
        <v>95296.8</v>
      </c>
      <c r="AW112" s="779">
        <v>115570.5</v>
      </c>
      <c r="AX112" s="720">
        <v>0</v>
      </c>
      <c r="AY112" s="720">
        <v>115572</v>
      </c>
      <c r="AZ112" s="640">
        <v>367848.8</v>
      </c>
      <c r="BA112" s="179"/>
      <c r="BB112" s="179"/>
      <c r="BC112" s="179"/>
      <c r="BD112" s="179"/>
      <c r="BE112" s="179"/>
      <c r="BF112" s="182"/>
      <c r="BG112" s="182">
        <v>0</v>
      </c>
      <c r="BH112" s="182">
        <f>124015*3</f>
        <v>372045</v>
      </c>
      <c r="BI112" s="244">
        <f>248030*3</f>
        <v>744090</v>
      </c>
      <c r="BJ112" s="245">
        <f t="shared" si="26"/>
        <v>372045</v>
      </c>
    </row>
    <row r="113" spans="1:62" ht="137.1" customHeight="1" thickBot="1" x14ac:dyDescent="0.25">
      <c r="A113" s="41">
        <v>112</v>
      </c>
      <c r="B113" s="2" t="s">
        <v>266</v>
      </c>
      <c r="C113" s="12" t="s">
        <v>621</v>
      </c>
      <c r="D113" s="12" t="s">
        <v>574</v>
      </c>
      <c r="E113" s="12" t="s">
        <v>1249</v>
      </c>
      <c r="F113" s="3" t="s">
        <v>575</v>
      </c>
      <c r="G113" s="12" t="s">
        <v>709</v>
      </c>
      <c r="H113" s="636" t="s">
        <v>1448</v>
      </c>
      <c r="I113" s="2" t="s">
        <v>622</v>
      </c>
      <c r="J113" s="3" t="s">
        <v>992</v>
      </c>
      <c r="K113" s="3" t="s">
        <v>623</v>
      </c>
      <c r="L113" s="3" t="s">
        <v>209</v>
      </c>
      <c r="M113" s="45" t="s">
        <v>710</v>
      </c>
      <c r="N113" s="46" t="s">
        <v>711</v>
      </c>
      <c r="O113" s="51" t="s">
        <v>712</v>
      </c>
      <c r="P113" s="12" t="s">
        <v>111</v>
      </c>
      <c r="Q113" s="12" t="s">
        <v>306</v>
      </c>
      <c r="R113" s="12">
        <v>0</v>
      </c>
      <c r="S113" s="12">
        <v>1000</v>
      </c>
      <c r="T113" s="12">
        <v>2190</v>
      </c>
      <c r="U113" s="52">
        <v>1000</v>
      </c>
      <c r="V113" s="52">
        <v>11703</v>
      </c>
      <c r="W113" s="52">
        <v>20000</v>
      </c>
      <c r="X113" s="6">
        <f t="shared" si="29"/>
        <v>13893</v>
      </c>
      <c r="Y113" s="6">
        <f t="shared" si="30"/>
        <v>2000</v>
      </c>
      <c r="Z113" s="12">
        <f t="shared" si="31"/>
        <v>22000</v>
      </c>
      <c r="AA113" s="811">
        <v>0.72</v>
      </c>
      <c r="AB113" s="811">
        <v>0.80969999999999998</v>
      </c>
      <c r="AC113" s="836">
        <f t="shared" si="32"/>
        <v>1576.8</v>
      </c>
      <c r="AD113" s="836">
        <f t="shared" si="33"/>
        <v>1773.2429999999999</v>
      </c>
      <c r="AE113" s="811">
        <v>0.72</v>
      </c>
      <c r="AF113" s="811">
        <v>0.79679999999999995</v>
      </c>
      <c r="AG113" s="836">
        <f t="shared" si="34"/>
        <v>8426.16</v>
      </c>
      <c r="AH113" s="836">
        <f t="shared" si="35"/>
        <v>9324.9503999999997</v>
      </c>
      <c r="AI113" s="794">
        <f t="shared" si="36"/>
        <v>10002.959999999999</v>
      </c>
      <c r="AJ113" s="794">
        <f t="shared" si="37"/>
        <v>11098.1934</v>
      </c>
      <c r="AK113" s="72">
        <v>29164032</v>
      </c>
      <c r="AL113" s="62">
        <v>7597287</v>
      </c>
      <c r="AM113" s="73">
        <f t="shared" si="28"/>
        <v>36761319</v>
      </c>
      <c r="AN113" s="158">
        <v>1048359</v>
      </c>
      <c r="AO113" s="158">
        <v>1048359</v>
      </c>
      <c r="AP113" s="594">
        <v>0</v>
      </c>
      <c r="AQ113" s="638">
        <v>7132488</v>
      </c>
      <c r="AR113" s="638">
        <v>7781161</v>
      </c>
      <c r="AS113" s="638">
        <v>7803781</v>
      </c>
      <c r="AT113" s="638">
        <v>6446602</v>
      </c>
      <c r="AU113" s="638">
        <v>839115.99</v>
      </c>
      <c r="AV113" s="638">
        <v>1048359.2069520003</v>
      </c>
      <c r="AW113" s="786">
        <v>2372872.5</v>
      </c>
      <c r="AX113" s="720">
        <v>1685988</v>
      </c>
      <c r="AY113" s="720">
        <v>686885</v>
      </c>
      <c r="AZ113" s="640">
        <v>4023821.4591239998</v>
      </c>
      <c r="BA113" s="668"/>
      <c r="BB113" s="668"/>
      <c r="BC113" s="668"/>
      <c r="BD113" s="668"/>
      <c r="BE113" s="668"/>
      <c r="BF113" s="182"/>
      <c r="BG113" s="182">
        <v>0</v>
      </c>
      <c r="BH113" s="182">
        <f>349453*3</f>
        <v>1048359</v>
      </c>
      <c r="BI113" s="179">
        <f>349453*3</f>
        <v>1048359</v>
      </c>
      <c r="BJ113" s="181">
        <f t="shared" si="26"/>
        <v>1048359</v>
      </c>
    </row>
    <row r="114" spans="1:62" ht="138.6" customHeight="1" thickBot="1" x14ac:dyDescent="0.25">
      <c r="A114" s="41">
        <v>113</v>
      </c>
      <c r="B114" s="2" t="s">
        <v>266</v>
      </c>
      <c r="C114" s="12" t="s">
        <v>624</v>
      </c>
      <c r="D114" s="12" t="s">
        <v>574</v>
      </c>
      <c r="E114" s="12" t="s">
        <v>1249</v>
      </c>
      <c r="F114" s="3" t="s">
        <v>575</v>
      </c>
      <c r="G114" s="12" t="s">
        <v>713</v>
      </c>
      <c r="H114" s="636" t="s">
        <v>1449</v>
      </c>
      <c r="I114" s="2" t="s">
        <v>625</v>
      </c>
      <c r="J114" s="3" t="s">
        <v>994</v>
      </c>
      <c r="K114" s="3" t="s">
        <v>623</v>
      </c>
      <c r="L114" s="3" t="s">
        <v>209</v>
      </c>
      <c r="M114" s="45" t="s">
        <v>714</v>
      </c>
      <c r="N114" s="46" t="s">
        <v>715</v>
      </c>
      <c r="O114" s="51" t="s">
        <v>1086</v>
      </c>
      <c r="P114" s="12" t="s">
        <v>111</v>
      </c>
      <c r="Q114" s="12" t="s">
        <v>306</v>
      </c>
      <c r="R114" s="12">
        <v>0</v>
      </c>
      <c r="S114" s="12">
        <v>1000</v>
      </c>
      <c r="T114" s="12">
        <v>1000</v>
      </c>
      <c r="U114" s="52">
        <v>1000</v>
      </c>
      <c r="V114" s="52">
        <v>5406</v>
      </c>
      <c r="W114" s="52">
        <v>20000</v>
      </c>
      <c r="X114" s="6">
        <f t="shared" si="29"/>
        <v>6406</v>
      </c>
      <c r="Y114" s="6">
        <f t="shared" si="30"/>
        <v>2000</v>
      </c>
      <c r="Z114" s="12">
        <f t="shared" si="31"/>
        <v>22000</v>
      </c>
      <c r="AA114" s="811">
        <v>0.72</v>
      </c>
      <c r="AB114" s="811">
        <v>0.68359999999999999</v>
      </c>
      <c r="AC114" s="836">
        <f t="shared" si="32"/>
        <v>720</v>
      </c>
      <c r="AD114" s="836">
        <f t="shared" si="33"/>
        <v>683.6</v>
      </c>
      <c r="AE114" s="811">
        <v>0.72</v>
      </c>
      <c r="AF114" s="811">
        <v>0.7369</v>
      </c>
      <c r="AG114" s="836">
        <f t="shared" si="34"/>
        <v>3892.3199999999997</v>
      </c>
      <c r="AH114" s="836">
        <f t="shared" si="35"/>
        <v>3983.6813999999999</v>
      </c>
      <c r="AI114" s="794">
        <f t="shared" si="36"/>
        <v>4612.32</v>
      </c>
      <c r="AJ114" s="794">
        <f t="shared" si="37"/>
        <v>4667.2813999999998</v>
      </c>
      <c r="AK114" s="72">
        <v>28922270.329999998</v>
      </c>
      <c r="AL114" s="62">
        <v>7597287</v>
      </c>
      <c r="AM114" s="73">
        <f t="shared" si="28"/>
        <v>36519557.329999998</v>
      </c>
      <c r="AN114" s="158">
        <v>1048359</v>
      </c>
      <c r="AO114" s="158">
        <v>1048359</v>
      </c>
      <c r="AP114" s="594">
        <v>0</v>
      </c>
      <c r="AQ114" s="638">
        <v>6996473.0704877703</v>
      </c>
      <c r="AR114" s="638">
        <v>7747243.4199999999</v>
      </c>
      <c r="AS114" s="638">
        <v>7764645.0700000003</v>
      </c>
      <c r="AT114" s="638">
        <v>6413908.7699999996</v>
      </c>
      <c r="AU114" s="638">
        <v>839115.99</v>
      </c>
      <c r="AV114" s="638">
        <v>1048359.2069520003</v>
      </c>
      <c r="AW114" s="786">
        <v>1404990</v>
      </c>
      <c r="AX114" s="720">
        <v>1404990</v>
      </c>
      <c r="AY114" s="720">
        <v>0</v>
      </c>
      <c r="AZ114" s="640">
        <v>4023821.4591239998</v>
      </c>
      <c r="BA114" s="668"/>
      <c r="BB114" s="668"/>
      <c r="BC114" s="668"/>
      <c r="BD114" s="668"/>
      <c r="BE114" s="668"/>
      <c r="BF114" s="182"/>
      <c r="BG114" s="182">
        <v>0</v>
      </c>
      <c r="BH114" s="182">
        <f>349453*3</f>
        <v>1048359</v>
      </c>
      <c r="BI114" s="179">
        <f>349453*3</f>
        <v>1048359</v>
      </c>
      <c r="BJ114" s="181">
        <f t="shared" si="26"/>
        <v>1048359</v>
      </c>
    </row>
    <row r="115" spans="1:62" ht="78.95" customHeight="1" thickBot="1" x14ac:dyDescent="0.25">
      <c r="A115" s="775">
        <v>114</v>
      </c>
      <c r="B115" s="2" t="s">
        <v>266</v>
      </c>
      <c r="C115" s="12" t="s">
        <v>626</v>
      </c>
      <c r="D115" s="12" t="s">
        <v>574</v>
      </c>
      <c r="E115" s="12" t="s">
        <v>1250</v>
      </c>
      <c r="F115" s="3" t="s">
        <v>1026</v>
      </c>
      <c r="G115" s="12" t="s">
        <v>716</v>
      </c>
      <c r="H115" s="636" t="s">
        <v>1450</v>
      </c>
      <c r="I115" s="2" t="s">
        <v>627</v>
      </c>
      <c r="J115" s="3" t="s">
        <v>992</v>
      </c>
      <c r="K115" s="3" t="s">
        <v>628</v>
      </c>
      <c r="L115" s="3" t="s">
        <v>10</v>
      </c>
      <c r="M115" s="45">
        <v>114</v>
      </c>
      <c r="N115" s="46">
        <v>80</v>
      </c>
      <c r="O115" s="51">
        <v>0.70175399999999999</v>
      </c>
      <c r="P115" s="12" t="s">
        <v>189</v>
      </c>
      <c r="Q115" s="12" t="s">
        <v>717</v>
      </c>
      <c r="R115" s="12">
        <v>30223</v>
      </c>
      <c r="S115" s="12">
        <v>478</v>
      </c>
      <c r="T115" s="12">
        <v>4497</v>
      </c>
      <c r="U115" s="12">
        <v>3784</v>
      </c>
      <c r="V115" s="12">
        <v>5336</v>
      </c>
      <c r="W115" s="52">
        <v>7068</v>
      </c>
      <c r="X115" s="6">
        <f t="shared" si="29"/>
        <v>9833</v>
      </c>
      <c r="Y115" s="6">
        <f t="shared" si="30"/>
        <v>4262</v>
      </c>
      <c r="Z115" s="12">
        <f t="shared" si="31"/>
        <v>11330</v>
      </c>
      <c r="AA115" s="811">
        <v>0.72</v>
      </c>
      <c r="AB115" s="811">
        <v>0.90129999999999999</v>
      </c>
      <c r="AC115" s="836">
        <f t="shared" si="32"/>
        <v>3237.8399999999997</v>
      </c>
      <c r="AD115" s="836">
        <f t="shared" si="33"/>
        <v>4053.1460999999999</v>
      </c>
      <c r="AE115" s="811">
        <v>0.72</v>
      </c>
      <c r="AF115" s="811">
        <v>0.90479999999999994</v>
      </c>
      <c r="AG115" s="836">
        <f t="shared" si="34"/>
        <v>3841.92</v>
      </c>
      <c r="AH115" s="836">
        <f t="shared" si="35"/>
        <v>4828.0127999999995</v>
      </c>
      <c r="AI115" s="794">
        <f t="shared" si="36"/>
        <v>7079.76</v>
      </c>
      <c r="AJ115" s="794">
        <f t="shared" si="37"/>
        <v>8881.1588999999985</v>
      </c>
      <c r="AK115" s="72">
        <v>26342677.670000002</v>
      </c>
      <c r="AL115" s="62">
        <v>6647010</v>
      </c>
      <c r="AM115" s="73">
        <f t="shared" si="28"/>
        <v>32989687.670000002</v>
      </c>
      <c r="AN115" s="77">
        <v>912461</v>
      </c>
      <c r="AO115" s="77">
        <v>912461</v>
      </c>
      <c r="AP115" s="171">
        <v>0</v>
      </c>
      <c r="AQ115" s="638">
        <v>6365521.1293826904</v>
      </c>
      <c r="AR115" s="638">
        <v>7059015.8399999999</v>
      </c>
      <c r="AS115" s="638">
        <v>7074418.8300000001</v>
      </c>
      <c r="AT115" s="638">
        <v>5843721.8700000001</v>
      </c>
      <c r="AU115" s="638">
        <v>764898.36816266994</v>
      </c>
      <c r="AV115" s="638">
        <v>912460.79123600014</v>
      </c>
      <c r="AW115" s="786">
        <v>733718</v>
      </c>
      <c r="AX115" s="720">
        <v>733718</v>
      </c>
      <c r="AY115" s="720">
        <v>0</v>
      </c>
      <c r="AZ115" s="640">
        <v>3502214.9736819998</v>
      </c>
      <c r="BA115" s="668"/>
      <c r="BB115" s="668"/>
      <c r="BC115" s="668"/>
      <c r="BD115" s="668"/>
      <c r="BE115" s="668"/>
      <c r="BF115" s="184"/>
      <c r="BG115" s="184">
        <v>0</v>
      </c>
      <c r="BH115" s="184">
        <v>912461</v>
      </c>
      <c r="BI115" s="181">
        <v>912461</v>
      </c>
      <c r="BJ115" s="181">
        <f t="shared" si="26"/>
        <v>912461</v>
      </c>
    </row>
    <row r="116" spans="1:62" ht="137.44999999999999" customHeight="1" thickBot="1" x14ac:dyDescent="0.25">
      <c r="A116" s="775">
        <v>115</v>
      </c>
      <c r="B116" s="2" t="s">
        <v>266</v>
      </c>
      <c r="C116" s="12" t="s">
        <v>629</v>
      </c>
      <c r="D116" s="12" t="s">
        <v>574</v>
      </c>
      <c r="E116" s="12" t="s">
        <v>1249</v>
      </c>
      <c r="F116" s="3" t="s">
        <v>575</v>
      </c>
      <c r="G116" s="12" t="s">
        <v>718</v>
      </c>
      <c r="H116" s="613" t="s">
        <v>1451</v>
      </c>
      <c r="I116" s="2" t="s">
        <v>630</v>
      </c>
      <c r="J116" s="12" t="s">
        <v>994</v>
      </c>
      <c r="K116" s="3" t="s">
        <v>623</v>
      </c>
      <c r="L116" s="3" t="s">
        <v>209</v>
      </c>
      <c r="M116" s="45" t="s">
        <v>719</v>
      </c>
      <c r="N116" s="46" t="s">
        <v>720</v>
      </c>
      <c r="O116" s="51" t="s">
        <v>721</v>
      </c>
      <c r="P116" s="12" t="s">
        <v>111</v>
      </c>
      <c r="Q116" s="12" t="s">
        <v>41</v>
      </c>
      <c r="R116" s="12">
        <v>0</v>
      </c>
      <c r="S116" s="12">
        <v>1000</v>
      </c>
      <c r="T116" s="12">
        <v>1515</v>
      </c>
      <c r="U116" s="52">
        <v>10000</v>
      </c>
      <c r="V116" s="52">
        <v>6509</v>
      </c>
      <c r="W116" s="52">
        <v>20000</v>
      </c>
      <c r="X116" s="6">
        <f t="shared" si="29"/>
        <v>8024</v>
      </c>
      <c r="Y116" s="6">
        <f t="shared" si="30"/>
        <v>11000</v>
      </c>
      <c r="Z116" s="12">
        <f t="shared" si="31"/>
        <v>31000</v>
      </c>
      <c r="AA116" s="811">
        <v>0.72</v>
      </c>
      <c r="AB116" s="811">
        <v>0.8015000000000001</v>
      </c>
      <c r="AC116" s="836">
        <f t="shared" si="32"/>
        <v>1090.8</v>
      </c>
      <c r="AD116" s="836">
        <f t="shared" si="33"/>
        <v>1214.2725000000003</v>
      </c>
      <c r="AE116" s="811">
        <v>0.72</v>
      </c>
      <c r="AF116" s="811">
        <v>0.79709999999999992</v>
      </c>
      <c r="AG116" s="836">
        <f t="shared" si="34"/>
        <v>4686.4799999999996</v>
      </c>
      <c r="AH116" s="836">
        <f t="shared" si="35"/>
        <v>5188.3238999999994</v>
      </c>
      <c r="AI116" s="794">
        <f t="shared" si="36"/>
        <v>5777.28</v>
      </c>
      <c r="AJ116" s="794">
        <f t="shared" si="37"/>
        <v>6402.5963999999994</v>
      </c>
      <c r="AK116" s="72">
        <v>29164032</v>
      </c>
      <c r="AL116" s="77">
        <v>7597287</v>
      </c>
      <c r="AM116" s="73">
        <f t="shared" si="28"/>
        <v>36761319</v>
      </c>
      <c r="AN116" s="158">
        <v>1048359</v>
      </c>
      <c r="AO116" s="158">
        <v>1048359</v>
      </c>
      <c r="AP116" s="594">
        <v>0</v>
      </c>
      <c r="AQ116" s="614">
        <v>7132488</v>
      </c>
      <c r="AR116" s="614">
        <v>7781161</v>
      </c>
      <c r="AS116" s="614">
        <v>7803781</v>
      </c>
      <c r="AT116" s="614">
        <v>6446602</v>
      </c>
      <c r="AU116" s="614">
        <v>839115.99</v>
      </c>
      <c r="AV116" s="614">
        <v>1048359.2069520003</v>
      </c>
      <c r="AW116" s="779">
        <v>2534190</v>
      </c>
      <c r="AX116" s="776">
        <v>1925358</v>
      </c>
      <c r="AY116" s="776">
        <v>733718</v>
      </c>
      <c r="AZ116" s="615">
        <v>4023821.4591239998</v>
      </c>
      <c r="BA116" s="668"/>
      <c r="BB116" s="668"/>
      <c r="BC116" s="668"/>
      <c r="BD116" s="668"/>
      <c r="BE116" s="668"/>
      <c r="BF116" s="182"/>
      <c r="BG116" s="182">
        <v>0</v>
      </c>
      <c r="BH116" s="182">
        <f>349453*3</f>
        <v>1048359</v>
      </c>
      <c r="BI116" s="179">
        <f>349453*3</f>
        <v>1048359</v>
      </c>
      <c r="BJ116" s="181">
        <f t="shared" si="26"/>
        <v>1048359</v>
      </c>
    </row>
    <row r="117" spans="1:62" ht="75.75" thickBot="1" x14ac:dyDescent="0.25">
      <c r="A117" s="41">
        <v>116</v>
      </c>
      <c r="B117" s="2" t="s">
        <v>266</v>
      </c>
      <c r="C117" s="12" t="s">
        <v>631</v>
      </c>
      <c r="D117" s="12" t="s">
        <v>574</v>
      </c>
      <c r="E117" s="12" t="s">
        <v>1249</v>
      </c>
      <c r="F117" s="3" t="s">
        <v>575</v>
      </c>
      <c r="G117" s="12" t="s">
        <v>722</v>
      </c>
      <c r="H117" s="613" t="s">
        <v>1452</v>
      </c>
      <c r="I117" s="2" t="s">
        <v>632</v>
      </c>
      <c r="J117" s="12" t="s">
        <v>1003</v>
      </c>
      <c r="K117" s="3" t="s">
        <v>411</v>
      </c>
      <c r="L117" s="3" t="s">
        <v>10</v>
      </c>
      <c r="M117" s="45">
        <v>13218</v>
      </c>
      <c r="N117" s="46">
        <v>3242</v>
      </c>
      <c r="O117" s="51">
        <v>0.24527199999999999</v>
      </c>
      <c r="P117" s="12" t="s">
        <v>111</v>
      </c>
      <c r="Q117" s="12" t="s">
        <v>41</v>
      </c>
      <c r="R117" s="12">
        <v>258913</v>
      </c>
      <c r="S117" s="12">
        <v>2500</v>
      </c>
      <c r="T117" s="12">
        <v>21457</v>
      </c>
      <c r="U117" s="52">
        <v>15000</v>
      </c>
      <c r="V117" s="52">
        <v>28505</v>
      </c>
      <c r="W117" s="52">
        <v>30000</v>
      </c>
      <c r="X117" s="6">
        <f t="shared" si="29"/>
        <v>49962</v>
      </c>
      <c r="Y117" s="6">
        <f t="shared" si="30"/>
        <v>17500</v>
      </c>
      <c r="Z117" s="12">
        <f t="shared" si="31"/>
        <v>47500</v>
      </c>
      <c r="AA117" s="811">
        <v>0.72</v>
      </c>
      <c r="AB117" s="811">
        <v>0.79020000000000001</v>
      </c>
      <c r="AC117" s="836">
        <f t="shared" si="32"/>
        <v>15449.039999999999</v>
      </c>
      <c r="AD117" s="836">
        <f t="shared" si="33"/>
        <v>16955.321400000001</v>
      </c>
      <c r="AE117" s="811">
        <v>0.72</v>
      </c>
      <c r="AF117" s="811">
        <v>0.79570000000000007</v>
      </c>
      <c r="AG117" s="836">
        <f t="shared" si="34"/>
        <v>20523.599999999999</v>
      </c>
      <c r="AH117" s="836">
        <f t="shared" si="35"/>
        <v>22681.428500000002</v>
      </c>
      <c r="AI117" s="794">
        <f t="shared" si="36"/>
        <v>35972.639999999999</v>
      </c>
      <c r="AJ117" s="794">
        <f t="shared" si="37"/>
        <v>39636.749900000003</v>
      </c>
      <c r="AK117" s="72">
        <v>57930332</v>
      </c>
      <c r="AL117" s="62">
        <v>12554952</v>
      </c>
      <c r="AM117" s="73">
        <f t="shared" si="28"/>
        <v>70485284</v>
      </c>
      <c r="AN117" s="77">
        <v>1689023</v>
      </c>
      <c r="AO117" s="77">
        <v>1689023</v>
      </c>
      <c r="AP117" s="171">
        <v>0</v>
      </c>
      <c r="AQ117" s="614">
        <v>14167705</v>
      </c>
      <c r="AR117" s="614">
        <v>15456205</v>
      </c>
      <c r="AS117" s="614">
        <v>10253559</v>
      </c>
      <c r="AT117" s="614">
        <v>8470332</v>
      </c>
      <c r="AU117" s="614">
        <v>1666789</v>
      </c>
      <c r="AV117" s="614">
        <v>1689023.1667560001</v>
      </c>
      <c r="AW117" s="779">
        <v>3059759.5</v>
      </c>
      <c r="AX117" s="776">
        <v>1358158</v>
      </c>
      <c r="AY117" s="776">
        <v>1701600</v>
      </c>
      <c r="AZ117" s="615">
        <v>6482823.4619219992</v>
      </c>
      <c r="BA117" s="668"/>
      <c r="BB117" s="668"/>
      <c r="BC117" s="668"/>
      <c r="BD117" s="668"/>
      <c r="BE117" s="668"/>
      <c r="BF117" s="184"/>
      <c r="BG117" s="184">
        <v>0</v>
      </c>
      <c r="BH117" s="184">
        <v>1689023</v>
      </c>
      <c r="BI117" s="181">
        <v>1689023</v>
      </c>
      <c r="BJ117" s="181">
        <f t="shared" si="26"/>
        <v>1689023</v>
      </c>
    </row>
    <row r="118" spans="1:62" ht="105.75" thickBot="1" x14ac:dyDescent="0.25">
      <c r="A118" s="41">
        <v>117</v>
      </c>
      <c r="B118" s="2" t="s">
        <v>266</v>
      </c>
      <c r="C118" s="12" t="s">
        <v>633</v>
      </c>
      <c r="D118" s="12" t="s">
        <v>574</v>
      </c>
      <c r="E118" s="12" t="s">
        <v>1249</v>
      </c>
      <c r="F118" s="3" t="s">
        <v>575</v>
      </c>
      <c r="G118" s="12" t="s">
        <v>723</v>
      </c>
      <c r="H118" s="613" t="s">
        <v>1451</v>
      </c>
      <c r="I118" s="2" t="s">
        <v>634</v>
      </c>
      <c r="J118" s="12" t="s">
        <v>1003</v>
      </c>
      <c r="K118" s="3" t="s">
        <v>635</v>
      </c>
      <c r="L118" s="3" t="s">
        <v>10</v>
      </c>
      <c r="M118" s="45">
        <v>96</v>
      </c>
      <c r="N118" s="46">
        <v>32</v>
      </c>
      <c r="O118" s="51">
        <v>0.33333299999999999</v>
      </c>
      <c r="P118" s="12" t="s">
        <v>111</v>
      </c>
      <c r="Q118" s="12" t="s">
        <v>41</v>
      </c>
      <c r="R118" s="12">
        <v>0</v>
      </c>
      <c r="S118" s="12">
        <v>1500</v>
      </c>
      <c r="T118" s="12">
        <v>3550</v>
      </c>
      <c r="U118" s="12">
        <v>8000</v>
      </c>
      <c r="V118" s="12">
        <v>17758</v>
      </c>
      <c r="W118" s="52">
        <v>15500</v>
      </c>
      <c r="X118" s="6">
        <f t="shared" si="29"/>
        <v>21308</v>
      </c>
      <c r="Y118" s="6">
        <f t="shared" si="30"/>
        <v>9500</v>
      </c>
      <c r="Z118" s="12">
        <f t="shared" si="31"/>
        <v>25000</v>
      </c>
      <c r="AA118" s="811">
        <v>0.72</v>
      </c>
      <c r="AB118" s="811">
        <v>0.81379999999999997</v>
      </c>
      <c r="AC118" s="836">
        <f t="shared" si="32"/>
        <v>2556</v>
      </c>
      <c r="AD118" s="836">
        <f t="shared" si="33"/>
        <v>2888.99</v>
      </c>
      <c r="AE118" s="811">
        <v>0.72</v>
      </c>
      <c r="AF118" s="811">
        <v>0.83309999999999995</v>
      </c>
      <c r="AG118" s="836">
        <f t="shared" si="34"/>
        <v>12785.76</v>
      </c>
      <c r="AH118" s="836">
        <f t="shared" si="35"/>
        <v>14794.189799999998</v>
      </c>
      <c r="AI118" s="794">
        <f t="shared" si="36"/>
        <v>15341.76</v>
      </c>
      <c r="AJ118" s="794">
        <f t="shared" si="37"/>
        <v>17683.179799999998</v>
      </c>
      <c r="AK118" s="72">
        <v>28754914</v>
      </c>
      <c r="AL118" s="62">
        <v>7585515</v>
      </c>
      <c r="AM118" s="73">
        <f t="shared" si="28"/>
        <v>36340429</v>
      </c>
      <c r="AN118" s="77">
        <v>1048359</v>
      </c>
      <c r="AO118" s="77">
        <v>1048359</v>
      </c>
      <c r="AP118" s="171">
        <v>0</v>
      </c>
      <c r="AQ118" s="614">
        <v>7032432</v>
      </c>
      <c r="AR118" s="614">
        <v>7672006</v>
      </c>
      <c r="AS118" s="614">
        <v>7694308</v>
      </c>
      <c r="AT118" s="614">
        <v>6356168</v>
      </c>
      <c r="AU118" s="614">
        <v>827345</v>
      </c>
      <c r="AV118" s="614">
        <v>1048359.2069520002</v>
      </c>
      <c r="AW118" s="779">
        <v>1966988</v>
      </c>
      <c r="AX118" s="776">
        <v>1966988</v>
      </c>
      <c r="AY118" s="776">
        <v>0</v>
      </c>
      <c r="AZ118" s="615">
        <v>4023821.4591239998</v>
      </c>
      <c r="BA118" s="668"/>
      <c r="BB118" s="668"/>
      <c r="BC118" s="668"/>
      <c r="BD118" s="668"/>
      <c r="BE118" s="668"/>
      <c r="BF118" s="184"/>
      <c r="BG118" s="184">
        <v>0</v>
      </c>
      <c r="BH118" s="184">
        <v>1048359</v>
      </c>
      <c r="BI118" s="181">
        <v>1048359</v>
      </c>
      <c r="BJ118" s="181">
        <f t="shared" si="26"/>
        <v>1048359</v>
      </c>
    </row>
    <row r="119" spans="1:62" ht="92.1" customHeight="1" thickBot="1" x14ac:dyDescent="0.25">
      <c r="A119" s="41">
        <v>118</v>
      </c>
      <c r="B119" s="2" t="s">
        <v>266</v>
      </c>
      <c r="C119" s="12" t="s">
        <v>636</v>
      </c>
      <c r="D119" s="12" t="s">
        <v>574</v>
      </c>
      <c r="E119" s="12" t="s">
        <v>1249</v>
      </c>
      <c r="F119" s="3" t="s">
        <v>575</v>
      </c>
      <c r="G119" s="12" t="s">
        <v>724</v>
      </c>
      <c r="H119" s="613" t="s">
        <v>1451</v>
      </c>
      <c r="I119" s="2" t="s">
        <v>637</v>
      </c>
      <c r="J119" s="12" t="s">
        <v>1003</v>
      </c>
      <c r="K119" s="3" t="s">
        <v>635</v>
      </c>
      <c r="L119" s="3" t="s">
        <v>10</v>
      </c>
      <c r="M119" s="45">
        <v>245</v>
      </c>
      <c r="N119" s="46">
        <v>55</v>
      </c>
      <c r="O119" s="51">
        <v>0.22449</v>
      </c>
      <c r="P119" s="12" t="s">
        <v>111</v>
      </c>
      <c r="Q119" s="12" t="s">
        <v>41</v>
      </c>
      <c r="R119" s="12">
        <v>0</v>
      </c>
      <c r="S119" s="12">
        <v>500</v>
      </c>
      <c r="T119" s="12">
        <v>6813</v>
      </c>
      <c r="U119" s="12">
        <v>7000</v>
      </c>
      <c r="V119" s="12">
        <v>11291</v>
      </c>
      <c r="W119" s="12">
        <v>10000</v>
      </c>
      <c r="X119" s="6">
        <f t="shared" si="29"/>
        <v>18104</v>
      </c>
      <c r="Y119" s="6">
        <f t="shared" si="30"/>
        <v>7500</v>
      </c>
      <c r="Z119" s="12">
        <f t="shared" si="31"/>
        <v>17500</v>
      </c>
      <c r="AA119" s="811">
        <v>0.72</v>
      </c>
      <c r="AB119" s="811">
        <v>0.84009999999999996</v>
      </c>
      <c r="AC119" s="836">
        <f t="shared" si="32"/>
        <v>4905.3599999999997</v>
      </c>
      <c r="AD119" s="836">
        <f t="shared" si="33"/>
        <v>5723.6012999999994</v>
      </c>
      <c r="AE119" s="811">
        <v>0.72</v>
      </c>
      <c r="AF119" s="811">
        <v>0.83450000000000002</v>
      </c>
      <c r="AG119" s="836">
        <f t="shared" si="34"/>
        <v>8129.5199999999995</v>
      </c>
      <c r="AH119" s="836">
        <f t="shared" si="35"/>
        <v>9422.3395</v>
      </c>
      <c r="AI119" s="794">
        <f t="shared" si="36"/>
        <v>13034.88</v>
      </c>
      <c r="AJ119" s="794">
        <f t="shared" si="37"/>
        <v>15145.9408</v>
      </c>
      <c r="AK119" s="72">
        <v>30002422</v>
      </c>
      <c r="AL119" s="62">
        <v>9495065</v>
      </c>
      <c r="AM119" s="73">
        <f t="shared" si="28"/>
        <v>39497487</v>
      </c>
      <c r="AN119" s="77">
        <v>1320156</v>
      </c>
      <c r="AO119" s="77">
        <v>1320156</v>
      </c>
      <c r="AP119" s="171">
        <v>0</v>
      </c>
      <c r="AQ119" s="614">
        <v>8370608</v>
      </c>
      <c r="AR119" s="614">
        <v>9131884</v>
      </c>
      <c r="AS119" s="614">
        <v>6845200</v>
      </c>
      <c r="AT119" s="614">
        <v>5654730</v>
      </c>
      <c r="AU119" s="614">
        <v>984777</v>
      </c>
      <c r="AV119" s="614">
        <v>1320156.0383840003</v>
      </c>
      <c r="AW119" s="779">
        <v>2123098.2362480005</v>
      </c>
      <c r="AX119" s="776">
        <v>1061549</v>
      </c>
      <c r="AY119" s="776">
        <v>1061549</v>
      </c>
      <c r="AZ119" s="615">
        <v>5067034.4300080007</v>
      </c>
      <c r="BA119" s="668"/>
      <c r="BB119" s="668"/>
      <c r="BC119" s="668"/>
      <c r="BD119" s="668"/>
      <c r="BE119" s="668"/>
      <c r="BF119" s="184"/>
      <c r="BG119" s="184">
        <v>0</v>
      </c>
      <c r="BH119" s="184">
        <v>1320156</v>
      </c>
      <c r="BI119" s="181">
        <v>1320156</v>
      </c>
      <c r="BJ119" s="181">
        <f t="shared" si="26"/>
        <v>1320156</v>
      </c>
    </row>
    <row r="120" spans="1:62" ht="138.6" customHeight="1" thickBot="1" x14ac:dyDescent="0.25">
      <c r="A120" s="41">
        <v>119</v>
      </c>
      <c r="B120" s="2" t="s">
        <v>266</v>
      </c>
      <c r="C120" s="12" t="s">
        <v>638</v>
      </c>
      <c r="D120" s="12" t="s">
        <v>574</v>
      </c>
      <c r="E120" s="12" t="s">
        <v>1249</v>
      </c>
      <c r="F120" s="3" t="s">
        <v>575</v>
      </c>
      <c r="G120" s="12" t="s">
        <v>725</v>
      </c>
      <c r="H120" s="613" t="s">
        <v>1451</v>
      </c>
      <c r="I120" s="2" t="s">
        <v>639</v>
      </c>
      <c r="J120" s="12" t="s">
        <v>995</v>
      </c>
      <c r="K120" s="3" t="s">
        <v>623</v>
      </c>
      <c r="L120" s="3" t="s">
        <v>209</v>
      </c>
      <c r="M120" s="45" t="s">
        <v>726</v>
      </c>
      <c r="N120" s="46" t="s">
        <v>727</v>
      </c>
      <c r="O120" s="51" t="s">
        <v>1087</v>
      </c>
      <c r="P120" s="12" t="s">
        <v>111</v>
      </c>
      <c r="Q120" s="12" t="s">
        <v>41</v>
      </c>
      <c r="R120" s="12">
        <v>0</v>
      </c>
      <c r="S120" s="12">
        <v>3000</v>
      </c>
      <c r="T120" s="12">
        <v>12834</v>
      </c>
      <c r="U120" s="52">
        <v>21000</v>
      </c>
      <c r="V120" s="52">
        <v>27973</v>
      </c>
      <c r="W120" s="52">
        <v>31500</v>
      </c>
      <c r="X120" s="6">
        <f t="shared" si="29"/>
        <v>40807</v>
      </c>
      <c r="Y120" s="6">
        <f t="shared" si="30"/>
        <v>24000</v>
      </c>
      <c r="Z120" s="12">
        <f t="shared" si="31"/>
        <v>55500</v>
      </c>
      <c r="AA120" s="811">
        <v>0.72</v>
      </c>
      <c r="AB120" s="811">
        <v>0.75780000000000003</v>
      </c>
      <c r="AC120" s="836">
        <f t="shared" si="32"/>
        <v>9240.48</v>
      </c>
      <c r="AD120" s="836">
        <f t="shared" si="33"/>
        <v>9725.6052</v>
      </c>
      <c r="AE120" s="811">
        <v>0.72</v>
      </c>
      <c r="AF120" s="811">
        <v>0.72429999999999994</v>
      </c>
      <c r="AG120" s="836">
        <f t="shared" si="34"/>
        <v>20140.559999999998</v>
      </c>
      <c r="AH120" s="836">
        <f t="shared" si="35"/>
        <v>20260.8439</v>
      </c>
      <c r="AI120" s="794">
        <f t="shared" si="36"/>
        <v>29381.039999999997</v>
      </c>
      <c r="AJ120" s="794">
        <f t="shared" si="37"/>
        <v>29986.449099999998</v>
      </c>
      <c r="AK120" s="72">
        <v>57954751</v>
      </c>
      <c r="AL120" s="62">
        <v>12555654</v>
      </c>
      <c r="AM120" s="73">
        <f t="shared" si="28"/>
        <v>70510405</v>
      </c>
      <c r="AN120" s="158">
        <v>1689024</v>
      </c>
      <c r="AO120" s="158">
        <v>1689024</v>
      </c>
      <c r="AP120" s="594">
        <v>0</v>
      </c>
      <c r="AQ120" s="614">
        <v>14173677</v>
      </c>
      <c r="AR120" s="614">
        <v>15462720</v>
      </c>
      <c r="AS120" s="614">
        <v>10852791</v>
      </c>
      <c r="AT120" s="614">
        <v>8965349</v>
      </c>
      <c r="AU120" s="614">
        <v>1667490.9899999998</v>
      </c>
      <c r="AV120" s="614">
        <v>1689023.1667559999</v>
      </c>
      <c r="AW120" s="779">
        <v>2716316.8610820002</v>
      </c>
      <c r="AX120" s="776">
        <v>2716315</v>
      </c>
      <c r="AY120" s="776">
        <v>0</v>
      </c>
      <c r="AZ120" s="615">
        <v>6482823.4619219992</v>
      </c>
      <c r="BA120" s="668"/>
      <c r="BB120" s="668"/>
      <c r="BC120" s="668"/>
      <c r="BD120" s="668"/>
      <c r="BE120" s="668"/>
      <c r="BF120" s="182"/>
      <c r="BG120" s="182">
        <v>0</v>
      </c>
      <c r="BH120" s="182">
        <f>563008*3</f>
        <v>1689024</v>
      </c>
      <c r="BI120" s="179">
        <f>563008*3</f>
        <v>1689024</v>
      </c>
      <c r="BJ120" s="181">
        <f t="shared" si="26"/>
        <v>1689024</v>
      </c>
    </row>
    <row r="121" spans="1:62" ht="62.1" customHeight="1" thickBot="1" x14ac:dyDescent="0.25">
      <c r="A121" s="41">
        <v>120</v>
      </c>
      <c r="B121" s="2" t="s">
        <v>266</v>
      </c>
      <c r="C121" s="12" t="s">
        <v>640</v>
      </c>
      <c r="D121" s="12" t="s">
        <v>574</v>
      </c>
      <c r="E121" s="12" t="s">
        <v>1249</v>
      </c>
      <c r="F121" s="3" t="s">
        <v>575</v>
      </c>
      <c r="G121" s="12" t="s">
        <v>728</v>
      </c>
      <c r="H121" s="636" t="s">
        <v>1453</v>
      </c>
      <c r="I121" s="2" t="s">
        <v>641</v>
      </c>
      <c r="J121" s="12" t="s">
        <v>1003</v>
      </c>
      <c r="K121" s="3" t="s">
        <v>411</v>
      </c>
      <c r="L121" s="3" t="s">
        <v>10</v>
      </c>
      <c r="M121" s="45">
        <v>27210</v>
      </c>
      <c r="N121" s="46">
        <v>7157</v>
      </c>
      <c r="O121" s="51">
        <v>0.26302799999999998</v>
      </c>
      <c r="P121" s="12" t="s">
        <v>111</v>
      </c>
      <c r="Q121" s="12" t="s">
        <v>729</v>
      </c>
      <c r="R121" s="12">
        <v>0</v>
      </c>
      <c r="S121" s="12">
        <v>5500</v>
      </c>
      <c r="T121" s="12">
        <v>5501</v>
      </c>
      <c r="U121" s="52">
        <v>8000</v>
      </c>
      <c r="V121" s="52">
        <v>161</v>
      </c>
      <c r="W121" s="52">
        <v>11000</v>
      </c>
      <c r="X121" s="6">
        <f t="shared" si="29"/>
        <v>5662</v>
      </c>
      <c r="Y121" s="6">
        <f t="shared" si="30"/>
        <v>13500</v>
      </c>
      <c r="Z121" s="12">
        <f t="shared" si="31"/>
        <v>24500</v>
      </c>
      <c r="AA121" s="811">
        <v>0.72</v>
      </c>
      <c r="AB121" s="811">
        <v>0.8983000000000001</v>
      </c>
      <c r="AC121" s="836">
        <f t="shared" si="32"/>
        <v>3960.72</v>
      </c>
      <c r="AD121" s="836">
        <f t="shared" si="33"/>
        <v>4941.5483000000004</v>
      </c>
      <c r="AE121" s="811">
        <v>0.72</v>
      </c>
      <c r="AF121" s="811">
        <v>0.90910000000000002</v>
      </c>
      <c r="AG121" s="836">
        <f t="shared" si="34"/>
        <v>115.92</v>
      </c>
      <c r="AH121" s="836">
        <f t="shared" si="35"/>
        <v>146.36510000000001</v>
      </c>
      <c r="AI121" s="794">
        <f t="shared" si="36"/>
        <v>4076.64</v>
      </c>
      <c r="AJ121" s="794">
        <f t="shared" si="37"/>
        <v>5087.9134000000004</v>
      </c>
      <c r="AK121" s="72">
        <v>20008333</v>
      </c>
      <c r="AL121" s="62">
        <v>6082343</v>
      </c>
      <c r="AM121" s="73">
        <f t="shared" si="28"/>
        <v>26090676</v>
      </c>
      <c r="AN121" s="77">
        <v>854218</v>
      </c>
      <c r="AO121" s="77">
        <v>854218</v>
      </c>
      <c r="AP121" s="171">
        <v>0</v>
      </c>
      <c r="AQ121" s="638">
        <v>4893329</v>
      </c>
      <c r="AR121" s="638">
        <v>5338359</v>
      </c>
      <c r="AS121" s="638">
        <v>5353877</v>
      </c>
      <c r="AT121" s="638">
        <v>4422768</v>
      </c>
      <c r="AU121" s="638">
        <v>575686</v>
      </c>
      <c r="AV121" s="638">
        <v>854218.61307200009</v>
      </c>
      <c r="AW121" s="786">
        <v>686884.5</v>
      </c>
      <c r="AX121" s="720">
        <v>686885</v>
      </c>
      <c r="AY121" s="720">
        <v>0</v>
      </c>
      <c r="AZ121" s="640">
        <v>3278669.3370639998</v>
      </c>
      <c r="BA121" s="668"/>
      <c r="BB121" s="668"/>
      <c r="BC121" s="668"/>
      <c r="BD121" s="668"/>
      <c r="BE121" s="668"/>
      <c r="BF121" s="184"/>
      <c r="BG121" s="184">
        <v>0</v>
      </c>
      <c r="BH121" s="184">
        <v>854218</v>
      </c>
      <c r="BI121" s="181">
        <v>854218</v>
      </c>
      <c r="BJ121" s="181">
        <f t="shared" si="26"/>
        <v>854218</v>
      </c>
    </row>
    <row r="122" spans="1:62" ht="165.95" customHeight="1" thickBot="1" x14ac:dyDescent="0.25">
      <c r="A122" s="41">
        <v>121</v>
      </c>
      <c r="B122" s="2" t="s">
        <v>266</v>
      </c>
      <c r="C122" s="21" t="s">
        <v>642</v>
      </c>
      <c r="D122" s="12" t="s">
        <v>397</v>
      </c>
      <c r="E122" s="12" t="s">
        <v>1240</v>
      </c>
      <c r="F122" s="3" t="s">
        <v>1255</v>
      </c>
      <c r="G122" s="12" t="s">
        <v>730</v>
      </c>
      <c r="H122" s="636" t="s">
        <v>1454</v>
      </c>
      <c r="I122" s="209" t="s">
        <v>643</v>
      </c>
      <c r="J122" s="156" t="s">
        <v>992</v>
      </c>
      <c r="K122" s="156" t="s">
        <v>644</v>
      </c>
      <c r="L122" s="156" t="s">
        <v>10</v>
      </c>
      <c r="M122" s="231">
        <v>22.4</v>
      </c>
      <c r="N122" s="232">
        <v>23.9</v>
      </c>
      <c r="O122" s="233">
        <v>1.066964</v>
      </c>
      <c r="P122" s="157" t="s">
        <v>189</v>
      </c>
      <c r="Q122" s="157" t="s">
        <v>731</v>
      </c>
      <c r="R122" s="157">
        <v>445</v>
      </c>
      <c r="S122" s="156">
        <v>442</v>
      </c>
      <c r="T122" s="156">
        <v>443</v>
      </c>
      <c r="U122" s="156">
        <v>670</v>
      </c>
      <c r="V122" s="156">
        <v>377</v>
      </c>
      <c r="W122" s="737">
        <v>820</v>
      </c>
      <c r="X122" s="6">
        <f t="shared" si="29"/>
        <v>820</v>
      </c>
      <c r="Y122" s="6">
        <f t="shared" si="30"/>
        <v>1112</v>
      </c>
      <c r="Z122" s="12">
        <f t="shared" si="31"/>
        <v>1932</v>
      </c>
      <c r="AA122" s="815">
        <v>0.86</v>
      </c>
      <c r="AB122" s="815">
        <v>0.46960000000000002</v>
      </c>
      <c r="AC122" s="836">
        <f t="shared" si="32"/>
        <v>380.98</v>
      </c>
      <c r="AD122" s="836">
        <f t="shared" si="33"/>
        <v>208.03280000000001</v>
      </c>
      <c r="AE122" s="815">
        <v>0.72</v>
      </c>
      <c r="AF122" s="815">
        <v>0.48949999999999999</v>
      </c>
      <c r="AG122" s="836">
        <f t="shared" si="34"/>
        <v>271.44</v>
      </c>
      <c r="AH122" s="836">
        <f t="shared" si="35"/>
        <v>184.54149999999998</v>
      </c>
      <c r="AI122" s="794">
        <f t="shared" si="36"/>
        <v>652.42000000000007</v>
      </c>
      <c r="AJ122" s="794">
        <f t="shared" si="37"/>
        <v>392.57429999999999</v>
      </c>
      <c r="AK122" s="237">
        <v>11217312</v>
      </c>
      <c r="AL122" s="238">
        <v>6253252</v>
      </c>
      <c r="AM122" s="239">
        <f t="shared" si="28"/>
        <v>17470564</v>
      </c>
      <c r="AN122" s="647">
        <v>698906</v>
      </c>
      <c r="AO122" s="647">
        <v>698906</v>
      </c>
      <c r="AP122" s="652">
        <v>0</v>
      </c>
      <c r="AQ122" s="638">
        <v>1929775</v>
      </c>
      <c r="AR122" s="638">
        <v>3232854</v>
      </c>
      <c r="AS122" s="638">
        <v>3313802</v>
      </c>
      <c r="AT122" s="638">
        <v>2740881</v>
      </c>
      <c r="AU122" s="638">
        <v>1747805</v>
      </c>
      <c r="AV122" s="638">
        <v>698906.13796800014</v>
      </c>
      <c r="AW122" s="786">
        <v>1123993</v>
      </c>
      <c r="AX122" s="720">
        <v>561997</v>
      </c>
      <c r="AY122" s="720">
        <v>561997</v>
      </c>
      <c r="AZ122" s="640">
        <v>2682547.6394159999</v>
      </c>
      <c r="BA122" s="668"/>
      <c r="BB122" s="668"/>
      <c r="BC122" s="668"/>
      <c r="BD122" s="668"/>
      <c r="BE122" s="668"/>
      <c r="BF122" s="184"/>
      <c r="BG122" s="184">
        <v>0</v>
      </c>
      <c r="BH122" s="184">
        <v>698906</v>
      </c>
      <c r="BI122" s="181">
        <v>698906</v>
      </c>
      <c r="BJ122" s="181">
        <f t="shared" si="26"/>
        <v>698906</v>
      </c>
    </row>
    <row r="123" spans="1:62" ht="137.1" customHeight="1" thickBot="1" x14ac:dyDescent="0.25">
      <c r="A123" s="41">
        <v>122</v>
      </c>
      <c r="B123" s="2" t="s">
        <v>283</v>
      </c>
      <c r="C123" s="12" t="s">
        <v>645</v>
      </c>
      <c r="D123" s="12" t="s">
        <v>574</v>
      </c>
      <c r="E123" s="12" t="s">
        <v>1249</v>
      </c>
      <c r="F123" s="3" t="s">
        <v>575</v>
      </c>
      <c r="G123" s="12" t="s">
        <v>732</v>
      </c>
      <c r="H123" s="636" t="s">
        <v>1455</v>
      </c>
      <c r="I123" s="209" t="s">
        <v>646</v>
      </c>
      <c r="J123" s="156" t="s">
        <v>1003</v>
      </c>
      <c r="K123" s="156" t="s">
        <v>582</v>
      </c>
      <c r="L123" s="156" t="s">
        <v>10</v>
      </c>
      <c r="M123" s="653" t="s">
        <v>34</v>
      </c>
      <c r="N123" s="653" t="s">
        <v>34</v>
      </c>
      <c r="O123" s="654" t="s">
        <v>34</v>
      </c>
      <c r="P123" s="157" t="s">
        <v>111</v>
      </c>
      <c r="Q123" s="157" t="s">
        <v>41</v>
      </c>
      <c r="R123" s="157">
        <v>156353</v>
      </c>
      <c r="S123" s="157">
        <v>258000</v>
      </c>
      <c r="T123" s="157">
        <v>156353</v>
      </c>
      <c r="U123" s="157">
        <v>258000</v>
      </c>
      <c r="V123" s="157">
        <v>156353</v>
      </c>
      <c r="W123" s="799">
        <v>258000</v>
      </c>
      <c r="X123" s="6">
        <f t="shared" si="29"/>
        <v>312706</v>
      </c>
      <c r="Y123" s="6">
        <f t="shared" si="30"/>
        <v>516000</v>
      </c>
      <c r="Z123" s="12">
        <f t="shared" si="31"/>
        <v>774000</v>
      </c>
      <c r="AA123" s="815">
        <v>0</v>
      </c>
      <c r="AB123" s="815" t="s">
        <v>1553</v>
      </c>
      <c r="AC123" s="836">
        <f t="shared" si="32"/>
        <v>0</v>
      </c>
      <c r="AD123" s="836">
        <v>0</v>
      </c>
      <c r="AE123" s="815">
        <v>0.05</v>
      </c>
      <c r="AF123" s="815">
        <v>0.17</v>
      </c>
      <c r="AG123" s="836">
        <f t="shared" si="34"/>
        <v>7817.6500000000005</v>
      </c>
      <c r="AH123" s="836">
        <f t="shared" si="35"/>
        <v>26580.010000000002</v>
      </c>
      <c r="AI123" s="794">
        <f t="shared" si="36"/>
        <v>7817.6500000000005</v>
      </c>
      <c r="AJ123" s="794">
        <f t="shared" si="37"/>
        <v>26580.010000000002</v>
      </c>
      <c r="AK123" s="237">
        <v>16253190</v>
      </c>
      <c r="AL123" s="238">
        <v>4203442</v>
      </c>
      <c r="AM123" s="239">
        <f t="shared" si="28"/>
        <v>20456632</v>
      </c>
      <c r="AN123" s="655">
        <v>287727</v>
      </c>
      <c r="AO123" s="647">
        <v>575454</v>
      </c>
      <c r="AP123" s="652">
        <v>287727</v>
      </c>
      <c r="AQ123" s="638">
        <v>3974954</v>
      </c>
      <c r="AR123" s="638">
        <v>4336461</v>
      </c>
      <c r="AS123" s="638">
        <v>4349067</v>
      </c>
      <c r="AT123" s="638">
        <v>3592708</v>
      </c>
      <c r="AU123" s="638">
        <v>496453</v>
      </c>
      <c r="AV123" s="638">
        <v>575453.23</v>
      </c>
      <c r="AW123" s="786">
        <v>923401.55</v>
      </c>
      <c r="AX123" s="720">
        <v>807977</v>
      </c>
      <c r="AY123" s="720">
        <v>115426</v>
      </c>
      <c r="AZ123" s="640">
        <v>2208134.2200000002</v>
      </c>
      <c r="BA123" s="668"/>
      <c r="BB123" s="668"/>
      <c r="BC123" s="668"/>
      <c r="BD123" s="668"/>
      <c r="BE123" s="668"/>
      <c r="BF123" s="184"/>
      <c r="BG123" s="184">
        <v>287727</v>
      </c>
      <c r="BH123" s="184">
        <v>287727</v>
      </c>
      <c r="BI123" s="181">
        <v>575454</v>
      </c>
      <c r="BJ123" s="181">
        <f t="shared" si="26"/>
        <v>575454</v>
      </c>
    </row>
    <row r="124" spans="1:62" ht="120" customHeight="1" thickBot="1" x14ac:dyDescent="0.25">
      <c r="A124" s="41">
        <v>123</v>
      </c>
      <c r="B124" s="2" t="s">
        <v>288</v>
      </c>
      <c r="C124" s="12" t="s">
        <v>647</v>
      </c>
      <c r="D124" s="12" t="s">
        <v>574</v>
      </c>
      <c r="E124" s="12" t="s">
        <v>1249</v>
      </c>
      <c r="F124" s="3" t="s">
        <v>575</v>
      </c>
      <c r="G124" s="12" t="s">
        <v>733</v>
      </c>
      <c r="H124" s="636" t="s">
        <v>1456</v>
      </c>
      <c r="I124" s="209" t="s">
        <v>648</v>
      </c>
      <c r="J124" s="156" t="s">
        <v>1010</v>
      </c>
      <c r="K124" s="156" t="s">
        <v>649</v>
      </c>
      <c r="L124" s="156" t="s">
        <v>94</v>
      </c>
      <c r="M124" s="231" t="s">
        <v>734</v>
      </c>
      <c r="N124" s="232" t="s">
        <v>1088</v>
      </c>
      <c r="O124" s="233" t="s">
        <v>1089</v>
      </c>
      <c r="P124" s="157" t="s">
        <v>111</v>
      </c>
      <c r="Q124" s="157" t="s">
        <v>306</v>
      </c>
      <c r="R124" s="157">
        <v>0</v>
      </c>
      <c r="S124" s="156">
        <v>8500</v>
      </c>
      <c r="T124" s="156">
        <v>0</v>
      </c>
      <c r="U124" s="156">
        <v>8500</v>
      </c>
      <c r="V124" s="156">
        <v>0</v>
      </c>
      <c r="W124" s="156">
        <v>8500</v>
      </c>
      <c r="X124" s="6">
        <f t="shared" si="29"/>
        <v>0</v>
      </c>
      <c r="Y124" s="6">
        <f t="shared" si="30"/>
        <v>17000</v>
      </c>
      <c r="Z124" s="12">
        <f t="shared" si="31"/>
        <v>25500</v>
      </c>
      <c r="AA124" s="815">
        <v>0</v>
      </c>
      <c r="AB124" s="815" t="s">
        <v>1553</v>
      </c>
      <c r="AC124" s="836">
        <f t="shared" si="32"/>
        <v>0</v>
      </c>
      <c r="AD124" s="836">
        <v>0</v>
      </c>
      <c r="AE124" s="815">
        <v>0.29459999999999997</v>
      </c>
      <c r="AF124" s="815">
        <v>0.24230000000000002</v>
      </c>
      <c r="AG124" s="836">
        <f t="shared" si="34"/>
        <v>0</v>
      </c>
      <c r="AH124" s="836">
        <f t="shared" si="35"/>
        <v>0</v>
      </c>
      <c r="AI124" s="794">
        <f t="shared" si="36"/>
        <v>0</v>
      </c>
      <c r="AJ124" s="794">
        <f t="shared" si="37"/>
        <v>0</v>
      </c>
      <c r="AK124" s="237">
        <v>2446149.88</v>
      </c>
      <c r="AL124" s="238">
        <v>379224</v>
      </c>
      <c r="AM124" s="239">
        <f t="shared" si="28"/>
        <v>2825373.88</v>
      </c>
      <c r="AN124" s="224">
        <v>49400</v>
      </c>
      <c r="AO124" s="224">
        <v>49400</v>
      </c>
      <c r="AP124" s="597">
        <v>0</v>
      </c>
      <c r="AQ124" s="638">
        <v>564458.4</v>
      </c>
      <c r="AR124" s="638">
        <v>654281.1</v>
      </c>
      <c r="AS124" s="638">
        <v>661043.30000000005</v>
      </c>
      <c r="AT124" s="638">
        <v>566367.07999999996</v>
      </c>
      <c r="AU124" s="638">
        <v>62718</v>
      </c>
      <c r="AV124" s="638">
        <v>49401.58</v>
      </c>
      <c r="AW124" s="786">
        <v>79865.899999999994</v>
      </c>
      <c r="AX124" s="720">
        <v>59899</v>
      </c>
      <c r="AY124" s="720">
        <v>19966</v>
      </c>
      <c r="AZ124" s="640">
        <v>187238</v>
      </c>
      <c r="BA124" s="668"/>
      <c r="BB124" s="668"/>
      <c r="BC124" s="668"/>
      <c r="BD124" s="668"/>
      <c r="BE124" s="668"/>
      <c r="BF124" s="182"/>
      <c r="BG124" s="182">
        <v>0</v>
      </c>
      <c r="BH124" s="182">
        <f>24700*2</f>
        <v>49400</v>
      </c>
      <c r="BI124" s="179">
        <f>24700*2</f>
        <v>49400</v>
      </c>
      <c r="BJ124" s="181">
        <f t="shared" si="26"/>
        <v>49400</v>
      </c>
    </row>
    <row r="125" spans="1:62" ht="135.94999999999999" customHeight="1" thickBot="1" x14ac:dyDescent="0.25">
      <c r="A125" s="41">
        <v>124</v>
      </c>
      <c r="B125" s="2" t="s">
        <v>301</v>
      </c>
      <c r="C125" s="12" t="s">
        <v>650</v>
      </c>
      <c r="D125" s="12" t="s">
        <v>397</v>
      </c>
      <c r="E125" s="12" t="s">
        <v>1240</v>
      </c>
      <c r="F125" s="3" t="s">
        <v>1020</v>
      </c>
      <c r="G125" s="12" t="s">
        <v>735</v>
      </c>
      <c r="H125" s="636" t="s">
        <v>1457</v>
      </c>
      <c r="I125" s="209" t="s">
        <v>651</v>
      </c>
      <c r="J125" s="156" t="s">
        <v>1015</v>
      </c>
      <c r="K125" s="156" t="s">
        <v>1194</v>
      </c>
      <c r="L125" s="156" t="s">
        <v>10</v>
      </c>
      <c r="M125" s="653" t="s">
        <v>34</v>
      </c>
      <c r="N125" s="653" t="s">
        <v>34</v>
      </c>
      <c r="O125" s="654" t="s">
        <v>34</v>
      </c>
      <c r="P125" s="157" t="s">
        <v>189</v>
      </c>
      <c r="Q125" s="157" t="s">
        <v>736</v>
      </c>
      <c r="R125" s="157">
        <v>277</v>
      </c>
      <c r="S125" s="156">
        <v>223</v>
      </c>
      <c r="T125" s="156">
        <v>277</v>
      </c>
      <c r="U125" s="156">
        <v>223</v>
      </c>
      <c r="V125" s="156">
        <v>277</v>
      </c>
      <c r="W125" s="156">
        <v>223</v>
      </c>
      <c r="X125" s="6">
        <f t="shared" si="29"/>
        <v>554</v>
      </c>
      <c r="Y125" s="6">
        <f t="shared" si="30"/>
        <v>446</v>
      </c>
      <c r="Z125" s="12">
        <f t="shared" si="31"/>
        <v>669</v>
      </c>
      <c r="AA125" s="815">
        <v>1</v>
      </c>
      <c r="AB125" s="815">
        <v>1</v>
      </c>
      <c r="AC125" s="836">
        <f t="shared" si="32"/>
        <v>277</v>
      </c>
      <c r="AD125" s="836">
        <f t="shared" si="33"/>
        <v>277</v>
      </c>
      <c r="AE125" s="815">
        <v>1</v>
      </c>
      <c r="AF125" s="815">
        <v>1</v>
      </c>
      <c r="AG125" s="836">
        <f t="shared" si="34"/>
        <v>277</v>
      </c>
      <c r="AH125" s="836">
        <f t="shared" si="35"/>
        <v>277</v>
      </c>
      <c r="AI125" s="794">
        <f t="shared" si="36"/>
        <v>554</v>
      </c>
      <c r="AJ125" s="794">
        <f t="shared" si="37"/>
        <v>554</v>
      </c>
      <c r="AK125" s="237">
        <v>6131493</v>
      </c>
      <c r="AL125" s="238">
        <v>1523170</v>
      </c>
      <c r="AM125" s="239">
        <f t="shared" si="28"/>
        <v>7654663</v>
      </c>
      <c r="AN125" s="655">
        <v>34274.33</v>
      </c>
      <c r="AO125" s="647">
        <v>137097.33000000002</v>
      </c>
      <c r="AP125" s="651">
        <v>102823</v>
      </c>
      <c r="AQ125" s="638">
        <v>1499546</v>
      </c>
      <c r="AR125" s="638">
        <v>1635924</v>
      </c>
      <c r="AS125" s="638">
        <v>1640679</v>
      </c>
      <c r="AT125" s="638">
        <v>1355344</v>
      </c>
      <c r="AU125" s="638">
        <v>176417</v>
      </c>
      <c r="AV125" s="638">
        <v>205645.91999999998</v>
      </c>
      <c r="AW125" s="786">
        <v>329990.25</v>
      </c>
      <c r="AX125" s="720">
        <v>329990</v>
      </c>
      <c r="AY125" s="720">
        <v>0</v>
      </c>
      <c r="AZ125" s="640">
        <v>811116.63000000012</v>
      </c>
      <c r="BA125" s="668"/>
      <c r="BB125" s="668"/>
      <c r="BC125" s="668"/>
      <c r="BD125" s="668"/>
      <c r="BE125" s="668"/>
      <c r="BF125" s="184"/>
      <c r="BG125" s="184">
        <v>102823</v>
      </c>
      <c r="BH125" s="184">
        <v>34274.33</v>
      </c>
      <c r="BI125" s="181">
        <v>137097.33000000002</v>
      </c>
      <c r="BJ125" s="181">
        <f t="shared" si="26"/>
        <v>137097.33000000002</v>
      </c>
    </row>
    <row r="126" spans="1:62" ht="90.75" thickBot="1" x14ac:dyDescent="0.25">
      <c r="A126" s="41">
        <v>125</v>
      </c>
      <c r="B126" s="2" t="s">
        <v>362</v>
      </c>
      <c r="C126" s="12" t="s">
        <v>652</v>
      </c>
      <c r="D126" s="12" t="s">
        <v>574</v>
      </c>
      <c r="E126" s="12" t="s">
        <v>1249</v>
      </c>
      <c r="F126" s="3" t="s">
        <v>575</v>
      </c>
      <c r="G126" s="12" t="s">
        <v>737</v>
      </c>
      <c r="H126" s="636" t="s">
        <v>1458</v>
      </c>
      <c r="I126" s="209" t="s">
        <v>653</v>
      </c>
      <c r="J126" s="156" t="s">
        <v>995</v>
      </c>
      <c r="K126" s="156" t="s">
        <v>576</v>
      </c>
      <c r="L126" s="156" t="s">
        <v>10</v>
      </c>
      <c r="M126" s="231">
        <v>16</v>
      </c>
      <c r="N126" s="232">
        <v>2</v>
      </c>
      <c r="O126" s="233">
        <v>0.125</v>
      </c>
      <c r="P126" s="157" t="s">
        <v>111</v>
      </c>
      <c r="Q126" s="157" t="s">
        <v>41</v>
      </c>
      <c r="R126" s="157">
        <v>0</v>
      </c>
      <c r="S126" s="156">
        <v>0</v>
      </c>
      <c r="T126" s="156">
        <v>0</v>
      </c>
      <c r="U126" s="157">
        <v>0</v>
      </c>
      <c r="V126" s="157">
        <v>0</v>
      </c>
      <c r="W126" s="796">
        <v>1400</v>
      </c>
      <c r="X126" s="6">
        <f t="shared" si="29"/>
        <v>0</v>
      </c>
      <c r="Y126" s="6">
        <f t="shared" si="30"/>
        <v>0</v>
      </c>
      <c r="Z126" s="12">
        <f t="shared" si="31"/>
        <v>1400</v>
      </c>
      <c r="AA126" s="815">
        <v>0</v>
      </c>
      <c r="AB126" s="815" t="s">
        <v>1553</v>
      </c>
      <c r="AC126" s="836">
        <f t="shared" si="32"/>
        <v>0</v>
      </c>
      <c r="AD126" s="836">
        <v>0</v>
      </c>
      <c r="AE126" s="815">
        <v>0.2</v>
      </c>
      <c r="AF126" s="815" t="s">
        <v>1553</v>
      </c>
      <c r="AG126" s="836">
        <f t="shared" si="34"/>
        <v>0</v>
      </c>
      <c r="AH126" s="836">
        <v>0</v>
      </c>
      <c r="AI126" s="794">
        <f t="shared" si="36"/>
        <v>0</v>
      </c>
      <c r="AJ126" s="794">
        <f t="shared" si="37"/>
        <v>0</v>
      </c>
      <c r="AK126" s="237">
        <v>275944</v>
      </c>
      <c r="AL126" s="238">
        <v>262523</v>
      </c>
      <c r="AM126" s="239">
        <f t="shared" si="28"/>
        <v>538467</v>
      </c>
      <c r="AN126" s="647">
        <v>43616</v>
      </c>
      <c r="AO126" s="647">
        <v>43616</v>
      </c>
      <c r="AP126" s="652">
        <v>0</v>
      </c>
      <c r="AQ126" s="638">
        <v>67486</v>
      </c>
      <c r="AR126" s="638">
        <v>73624</v>
      </c>
      <c r="AS126" s="638">
        <v>73838</v>
      </c>
      <c r="AT126" s="638">
        <v>60996</v>
      </c>
      <c r="AU126" s="638">
        <v>7940</v>
      </c>
      <c r="AV126" s="638">
        <v>43616.44</v>
      </c>
      <c r="AW126" s="786">
        <v>65686.78</v>
      </c>
      <c r="AX126" s="720">
        <v>65687</v>
      </c>
      <c r="AY126" s="720">
        <v>0</v>
      </c>
      <c r="AZ126" s="640">
        <v>145279.78</v>
      </c>
      <c r="BA126" s="668"/>
      <c r="BB126" s="668"/>
      <c r="BC126" s="668"/>
      <c r="BD126" s="668"/>
      <c r="BE126" s="668"/>
      <c r="BF126" s="184"/>
      <c r="BG126" s="184">
        <v>0</v>
      </c>
      <c r="BH126" s="184">
        <v>43616</v>
      </c>
      <c r="BI126" s="181">
        <v>43616</v>
      </c>
      <c r="BJ126" s="181">
        <f t="shared" si="26"/>
        <v>43616</v>
      </c>
    </row>
    <row r="127" spans="1:62" ht="90.75" thickBot="1" x14ac:dyDescent="0.25">
      <c r="A127" s="41">
        <v>126</v>
      </c>
      <c r="B127" s="2" t="s">
        <v>362</v>
      </c>
      <c r="C127" s="12" t="s">
        <v>654</v>
      </c>
      <c r="D127" s="12" t="s">
        <v>759</v>
      </c>
      <c r="E127" s="12" t="s">
        <v>1225</v>
      </c>
      <c r="F127" s="3" t="s">
        <v>1028</v>
      </c>
      <c r="G127" s="12" t="s">
        <v>738</v>
      </c>
      <c r="H127" s="636" t="s">
        <v>1459</v>
      </c>
      <c r="I127" s="209" t="s">
        <v>655</v>
      </c>
      <c r="J127" s="156" t="s">
        <v>992</v>
      </c>
      <c r="K127" s="156" t="s">
        <v>656</v>
      </c>
      <c r="L127" s="156" t="s">
        <v>10</v>
      </c>
      <c r="M127" s="231">
        <v>1</v>
      </c>
      <c r="N127" s="232">
        <v>80</v>
      </c>
      <c r="O127" s="233">
        <v>80</v>
      </c>
      <c r="P127" s="157" t="s">
        <v>111</v>
      </c>
      <c r="Q127" s="157" t="s">
        <v>41</v>
      </c>
      <c r="R127" s="157">
        <v>0</v>
      </c>
      <c r="S127" s="156">
        <v>216</v>
      </c>
      <c r="T127" s="156">
        <v>0</v>
      </c>
      <c r="U127" s="157">
        <v>216</v>
      </c>
      <c r="V127" s="157">
        <v>0</v>
      </c>
      <c r="W127" s="796">
        <v>216</v>
      </c>
      <c r="X127" s="6">
        <f t="shared" si="29"/>
        <v>0</v>
      </c>
      <c r="Y127" s="6">
        <f t="shared" si="30"/>
        <v>432</v>
      </c>
      <c r="Z127" s="12">
        <f t="shared" si="31"/>
        <v>648</v>
      </c>
      <c r="AA127" s="815">
        <v>0</v>
      </c>
      <c r="AB127" s="815" t="s">
        <v>1553</v>
      </c>
      <c r="AC127" s="836">
        <f t="shared" si="32"/>
        <v>0</v>
      </c>
      <c r="AD127" s="836">
        <v>0</v>
      </c>
      <c r="AE127" s="815">
        <v>0.45</v>
      </c>
      <c r="AF127" s="815">
        <v>0.2</v>
      </c>
      <c r="AG127" s="836">
        <f t="shared" si="34"/>
        <v>0</v>
      </c>
      <c r="AH127" s="836">
        <f t="shared" ref="AH127:AH137" si="39">AF127*V127</f>
        <v>0</v>
      </c>
      <c r="AI127" s="794">
        <f t="shared" si="36"/>
        <v>0</v>
      </c>
      <c r="AJ127" s="794">
        <f t="shared" si="37"/>
        <v>0</v>
      </c>
      <c r="AK127" s="237">
        <v>1640149</v>
      </c>
      <c r="AL127" s="238">
        <v>295694</v>
      </c>
      <c r="AM127" s="239">
        <f t="shared" si="28"/>
        <v>1935843</v>
      </c>
      <c r="AN127" s="647">
        <v>43616</v>
      </c>
      <c r="AO127" s="647">
        <v>43616</v>
      </c>
      <c r="AP127" s="652">
        <v>0</v>
      </c>
      <c r="AQ127" s="638">
        <v>469403</v>
      </c>
      <c r="AR127" s="638">
        <v>441791</v>
      </c>
      <c r="AS127" s="638">
        <v>414179</v>
      </c>
      <c r="AT127" s="638">
        <v>314776</v>
      </c>
      <c r="AU127" s="638">
        <v>41111</v>
      </c>
      <c r="AV127" s="638">
        <v>43616.44</v>
      </c>
      <c r="AW127" s="786">
        <v>109479</v>
      </c>
      <c r="AX127" s="720">
        <v>52002</v>
      </c>
      <c r="AY127" s="720">
        <v>24619</v>
      </c>
      <c r="AZ127" s="640">
        <v>145279.78</v>
      </c>
      <c r="BA127" s="668"/>
      <c r="BB127" s="668"/>
      <c r="BC127" s="668"/>
      <c r="BD127" s="668"/>
      <c r="BE127" s="668"/>
      <c r="BF127" s="184"/>
      <c r="BG127" s="184">
        <v>0</v>
      </c>
      <c r="BH127" s="184">
        <v>43616</v>
      </c>
      <c r="BI127" s="181">
        <v>43616</v>
      </c>
      <c r="BJ127" s="181">
        <f t="shared" si="26"/>
        <v>43616</v>
      </c>
    </row>
    <row r="128" spans="1:62" ht="197.1" customHeight="1" thickBot="1" x14ac:dyDescent="0.25">
      <c r="A128" s="41">
        <v>127</v>
      </c>
      <c r="B128" s="2" t="s">
        <v>362</v>
      </c>
      <c r="C128" s="12" t="s">
        <v>657</v>
      </c>
      <c r="D128" s="12" t="s">
        <v>574</v>
      </c>
      <c r="E128" s="12" t="s">
        <v>1249</v>
      </c>
      <c r="F128" s="3" t="s">
        <v>575</v>
      </c>
      <c r="G128" s="12" t="s">
        <v>739</v>
      </c>
      <c r="H128" s="636" t="s">
        <v>1460</v>
      </c>
      <c r="I128" s="209" t="s">
        <v>658</v>
      </c>
      <c r="J128" s="156" t="s">
        <v>992</v>
      </c>
      <c r="K128" s="156" t="s">
        <v>659</v>
      </c>
      <c r="L128" s="156" t="s">
        <v>209</v>
      </c>
      <c r="M128" s="231" t="s">
        <v>740</v>
      </c>
      <c r="N128" s="232" t="s">
        <v>741</v>
      </c>
      <c r="O128" s="233" t="s">
        <v>1090</v>
      </c>
      <c r="P128" s="157" t="s">
        <v>111</v>
      </c>
      <c r="Q128" s="157" t="s">
        <v>742</v>
      </c>
      <c r="R128" s="157">
        <v>0</v>
      </c>
      <c r="S128" s="157">
        <v>1500</v>
      </c>
      <c r="T128" s="157">
        <v>0</v>
      </c>
      <c r="U128" s="796">
        <v>1500</v>
      </c>
      <c r="V128" s="796">
        <v>0</v>
      </c>
      <c r="W128" s="796">
        <v>1500</v>
      </c>
      <c r="X128" s="6">
        <f t="shared" si="29"/>
        <v>0</v>
      </c>
      <c r="Y128" s="6">
        <f t="shared" si="30"/>
        <v>3000</v>
      </c>
      <c r="Z128" s="12">
        <f t="shared" si="31"/>
        <v>4500</v>
      </c>
      <c r="AA128" s="815">
        <v>0.35</v>
      </c>
      <c r="AB128" s="815">
        <v>0.32320000000000004</v>
      </c>
      <c r="AC128" s="836">
        <f t="shared" si="32"/>
        <v>0</v>
      </c>
      <c r="AD128" s="836">
        <f t="shared" si="33"/>
        <v>0</v>
      </c>
      <c r="AE128" s="815">
        <v>0.35</v>
      </c>
      <c r="AF128" s="815">
        <v>0.35</v>
      </c>
      <c r="AG128" s="836">
        <f t="shared" si="34"/>
        <v>0</v>
      </c>
      <c r="AH128" s="836">
        <f t="shared" si="39"/>
        <v>0</v>
      </c>
      <c r="AI128" s="794">
        <f t="shared" si="36"/>
        <v>0</v>
      </c>
      <c r="AJ128" s="794">
        <f t="shared" si="37"/>
        <v>0</v>
      </c>
      <c r="AK128" s="237">
        <v>2296209</v>
      </c>
      <c r="AL128" s="238">
        <v>336807</v>
      </c>
      <c r="AM128" s="239">
        <f t="shared" si="28"/>
        <v>2633016</v>
      </c>
      <c r="AN128" s="224">
        <v>43615</v>
      </c>
      <c r="AO128" s="224">
        <v>43615</v>
      </c>
      <c r="AP128" s="597">
        <v>0</v>
      </c>
      <c r="AQ128" s="638">
        <v>657164</v>
      </c>
      <c r="AR128" s="638">
        <v>618507</v>
      </c>
      <c r="AS128" s="638">
        <v>579851</v>
      </c>
      <c r="AT128" s="638">
        <v>440687</v>
      </c>
      <c r="AU128" s="638">
        <v>82222</v>
      </c>
      <c r="AV128" s="638">
        <v>43616.44</v>
      </c>
      <c r="AW128" s="786">
        <v>54740</v>
      </c>
      <c r="AX128" s="720" t="s">
        <v>1507</v>
      </c>
      <c r="AY128" s="720">
        <v>54740</v>
      </c>
      <c r="AZ128" s="640">
        <v>145279.78</v>
      </c>
      <c r="BA128" s="668"/>
      <c r="BB128" s="668"/>
      <c r="BC128" s="668"/>
      <c r="BD128" s="668"/>
      <c r="BE128" s="668"/>
      <c r="BF128" s="182"/>
      <c r="BG128" s="182">
        <v>0</v>
      </c>
      <c r="BH128" s="182">
        <f>(7269*2)+29077</f>
        <v>43615</v>
      </c>
      <c r="BI128" s="179">
        <f>7269*2+(29077)</f>
        <v>43615</v>
      </c>
      <c r="BJ128" s="181">
        <f t="shared" si="26"/>
        <v>43615</v>
      </c>
    </row>
    <row r="129" spans="1:62" ht="105.75" thickBot="1" x14ac:dyDescent="0.25">
      <c r="A129" s="41">
        <v>127</v>
      </c>
      <c r="B129" s="2" t="s">
        <v>362</v>
      </c>
      <c r="C129" s="12" t="s">
        <v>660</v>
      </c>
      <c r="D129" s="12" t="s">
        <v>574</v>
      </c>
      <c r="E129" s="12" t="s">
        <v>1249</v>
      </c>
      <c r="F129" s="3" t="s">
        <v>575</v>
      </c>
      <c r="G129" s="12" t="s">
        <v>743</v>
      </c>
      <c r="H129" s="636" t="s">
        <v>1461</v>
      </c>
      <c r="I129" s="209" t="s">
        <v>661</v>
      </c>
      <c r="J129" s="156" t="s">
        <v>1003</v>
      </c>
      <c r="K129" s="156" t="s">
        <v>635</v>
      </c>
      <c r="L129" s="156" t="s">
        <v>10</v>
      </c>
      <c r="M129" s="231">
        <v>607</v>
      </c>
      <c r="N129" s="232">
        <v>285</v>
      </c>
      <c r="O129" s="233">
        <v>0.46952199999999999</v>
      </c>
      <c r="P129" s="157" t="s">
        <v>111</v>
      </c>
      <c r="Q129" s="157" t="s">
        <v>41</v>
      </c>
      <c r="R129" s="157">
        <v>6845</v>
      </c>
      <c r="S129" s="156">
        <v>1027</v>
      </c>
      <c r="T129" s="156">
        <v>6845</v>
      </c>
      <c r="U129" s="157">
        <v>1027</v>
      </c>
      <c r="V129" s="157">
        <v>6845</v>
      </c>
      <c r="W129" s="796">
        <v>1027</v>
      </c>
      <c r="X129" s="6">
        <f t="shared" si="29"/>
        <v>13690</v>
      </c>
      <c r="Y129" s="6">
        <f t="shared" si="30"/>
        <v>2054</v>
      </c>
      <c r="Z129" s="12">
        <f t="shared" si="31"/>
        <v>3081</v>
      </c>
      <c r="AA129" s="815">
        <v>0</v>
      </c>
      <c r="AB129" s="815" t="s">
        <v>1553</v>
      </c>
      <c r="AC129" s="836">
        <f t="shared" si="32"/>
        <v>0</v>
      </c>
      <c r="AD129" s="836">
        <v>0</v>
      </c>
      <c r="AE129" s="815">
        <v>0.23</v>
      </c>
      <c r="AF129" s="815">
        <v>0.16</v>
      </c>
      <c r="AG129" s="836">
        <f t="shared" si="34"/>
        <v>1574.3500000000001</v>
      </c>
      <c r="AH129" s="836">
        <f t="shared" si="39"/>
        <v>1095.2</v>
      </c>
      <c r="AI129" s="794">
        <f t="shared" si="36"/>
        <v>1574.3500000000001</v>
      </c>
      <c r="AJ129" s="794">
        <f t="shared" si="37"/>
        <v>1095.2</v>
      </c>
      <c r="AK129" s="237">
        <v>2296209</v>
      </c>
      <c r="AL129" s="238">
        <v>336805</v>
      </c>
      <c r="AM129" s="239">
        <f t="shared" si="28"/>
        <v>2633014</v>
      </c>
      <c r="AN129" s="647">
        <v>43616</v>
      </c>
      <c r="AO129" s="647">
        <v>43616</v>
      </c>
      <c r="AP129" s="652">
        <v>0</v>
      </c>
      <c r="AQ129" s="638">
        <v>657164</v>
      </c>
      <c r="AR129" s="638">
        <v>618508</v>
      </c>
      <c r="AS129" s="638">
        <v>579851</v>
      </c>
      <c r="AT129" s="638">
        <v>440686</v>
      </c>
      <c r="AU129" s="638">
        <v>82222</v>
      </c>
      <c r="AV129" s="638">
        <v>43616.44</v>
      </c>
      <c r="AW129" s="786">
        <v>65686.78</v>
      </c>
      <c r="AX129" s="720">
        <v>0</v>
      </c>
      <c r="AY129" s="720">
        <v>65687</v>
      </c>
      <c r="AZ129" s="640">
        <v>145279.78</v>
      </c>
      <c r="BA129" s="668"/>
      <c r="BB129" s="668"/>
      <c r="BC129" s="668"/>
      <c r="BD129" s="668"/>
      <c r="BE129" s="668"/>
      <c r="BF129" s="184"/>
      <c r="BG129" s="184">
        <v>0</v>
      </c>
      <c r="BH129" s="184">
        <v>43616</v>
      </c>
      <c r="BI129" s="181">
        <v>43616</v>
      </c>
      <c r="BJ129" s="181">
        <f t="shared" si="26"/>
        <v>43616</v>
      </c>
    </row>
    <row r="130" spans="1:62" ht="165.95" customHeight="1" thickBot="1" x14ac:dyDescent="0.25">
      <c r="A130" s="41">
        <v>128</v>
      </c>
      <c r="B130" s="2" t="s">
        <v>321</v>
      </c>
      <c r="C130" s="12" t="s">
        <v>662</v>
      </c>
      <c r="D130" s="12" t="s">
        <v>574</v>
      </c>
      <c r="E130" s="12" t="s">
        <v>1249</v>
      </c>
      <c r="F130" s="3" t="s">
        <v>575</v>
      </c>
      <c r="G130" s="12" t="s">
        <v>744</v>
      </c>
      <c r="H130" s="636" t="s">
        <v>1462</v>
      </c>
      <c r="I130" s="209" t="s">
        <v>1047</v>
      </c>
      <c r="J130" s="156" t="s">
        <v>1016</v>
      </c>
      <c r="K130" s="156" t="s">
        <v>663</v>
      </c>
      <c r="L130" s="156" t="s">
        <v>664</v>
      </c>
      <c r="M130" s="231" t="s">
        <v>745</v>
      </c>
      <c r="N130" s="232" t="s">
        <v>746</v>
      </c>
      <c r="O130" s="233" t="s">
        <v>747</v>
      </c>
      <c r="P130" s="157" t="s">
        <v>111</v>
      </c>
      <c r="Q130" s="157" t="s">
        <v>748</v>
      </c>
      <c r="R130" s="157">
        <v>107</v>
      </c>
      <c r="S130" s="157">
        <v>4500</v>
      </c>
      <c r="T130" s="157">
        <v>107</v>
      </c>
      <c r="U130" s="796">
        <v>4500</v>
      </c>
      <c r="V130" s="796">
        <v>107</v>
      </c>
      <c r="W130" s="796">
        <v>4500</v>
      </c>
      <c r="X130" s="6">
        <f t="shared" si="29"/>
        <v>214</v>
      </c>
      <c r="Y130" s="6">
        <f t="shared" si="30"/>
        <v>9000</v>
      </c>
      <c r="Z130" s="12">
        <f t="shared" si="31"/>
        <v>13500</v>
      </c>
      <c r="AA130" s="815">
        <v>0.98</v>
      </c>
      <c r="AB130" s="815">
        <v>0.90441916010498702</v>
      </c>
      <c r="AC130" s="836">
        <f t="shared" si="32"/>
        <v>104.86</v>
      </c>
      <c r="AD130" s="836">
        <f t="shared" si="33"/>
        <v>96.772850131233611</v>
      </c>
      <c r="AE130" s="815">
        <v>0.79</v>
      </c>
      <c r="AF130" s="815">
        <v>0.84640000000000004</v>
      </c>
      <c r="AG130" s="836">
        <f t="shared" si="34"/>
        <v>84.53</v>
      </c>
      <c r="AH130" s="836">
        <f t="shared" si="39"/>
        <v>90.564800000000005</v>
      </c>
      <c r="AI130" s="794">
        <f t="shared" si="36"/>
        <v>189.39</v>
      </c>
      <c r="AJ130" s="794">
        <f t="shared" si="37"/>
        <v>187.3376501312336</v>
      </c>
      <c r="AK130" s="237">
        <v>1850899</v>
      </c>
      <c r="AL130" s="238">
        <v>435245</v>
      </c>
      <c r="AM130" s="239">
        <f t="shared" ref="AM130:AM161" si="40">SUM(AK130:AL130)</f>
        <v>2286144</v>
      </c>
      <c r="AN130" s="224">
        <v>87308</v>
      </c>
      <c r="AO130" s="224">
        <v>87308</v>
      </c>
      <c r="AP130" s="597">
        <v>0</v>
      </c>
      <c r="AQ130" s="638">
        <v>405096</v>
      </c>
      <c r="AR130" s="638">
        <v>459882</v>
      </c>
      <c r="AS130" s="638">
        <v>502549</v>
      </c>
      <c r="AT130" s="638">
        <v>483372</v>
      </c>
      <c r="AU130" s="638">
        <v>21321</v>
      </c>
      <c r="AV130" s="638">
        <v>87307</v>
      </c>
      <c r="AW130" s="786">
        <v>75462</v>
      </c>
      <c r="AX130" s="720">
        <v>75462</v>
      </c>
      <c r="AY130" s="720">
        <v>0</v>
      </c>
      <c r="AZ130" s="640">
        <v>225999.2</v>
      </c>
      <c r="BA130" s="668"/>
      <c r="BB130" s="668"/>
      <c r="BC130" s="668"/>
      <c r="BD130" s="668"/>
      <c r="BE130" s="668"/>
      <c r="BF130" s="182"/>
      <c r="BG130" s="182">
        <v>0</v>
      </c>
      <c r="BH130" s="182">
        <f>43654*2</f>
        <v>87308</v>
      </c>
      <c r="BI130" s="179">
        <f>43654*2</f>
        <v>87308</v>
      </c>
      <c r="BJ130" s="181">
        <f t="shared" ref="BJ130:BJ175" si="41">BG130+BH130</f>
        <v>87308</v>
      </c>
    </row>
    <row r="131" spans="1:62" ht="46.5" customHeight="1" thickBot="1" x14ac:dyDescent="0.25">
      <c r="A131" s="42">
        <v>129</v>
      </c>
      <c r="B131" s="2" t="s">
        <v>665</v>
      </c>
      <c r="C131" s="12" t="s">
        <v>666</v>
      </c>
      <c r="D131" s="12" t="s">
        <v>574</v>
      </c>
      <c r="E131" s="12" t="s">
        <v>1252</v>
      </c>
      <c r="F131" s="3" t="s">
        <v>575</v>
      </c>
      <c r="G131" s="12" t="s">
        <v>749</v>
      </c>
      <c r="H131" s="636" t="s">
        <v>1463</v>
      </c>
      <c r="I131" s="209" t="s">
        <v>667</v>
      </c>
      <c r="J131" s="156" t="s">
        <v>992</v>
      </c>
      <c r="K131" s="156" t="s">
        <v>668</v>
      </c>
      <c r="L131" s="156" t="s">
        <v>10</v>
      </c>
      <c r="M131" s="231">
        <v>14141</v>
      </c>
      <c r="N131" s="232">
        <v>3366</v>
      </c>
      <c r="O131" s="233">
        <v>0.23803099999999999</v>
      </c>
      <c r="P131" s="157" t="s">
        <v>189</v>
      </c>
      <c r="Q131" s="157" t="s">
        <v>750</v>
      </c>
      <c r="R131" s="157">
        <v>0</v>
      </c>
      <c r="S131" s="156">
        <v>800</v>
      </c>
      <c r="T131" s="156">
        <v>0</v>
      </c>
      <c r="U131" s="156">
        <v>800</v>
      </c>
      <c r="V131" s="156">
        <v>0</v>
      </c>
      <c r="W131" s="796">
        <v>800</v>
      </c>
      <c r="X131" s="6">
        <f t="shared" si="29"/>
        <v>0</v>
      </c>
      <c r="Y131" s="6">
        <f t="shared" si="30"/>
        <v>1600</v>
      </c>
      <c r="Z131" s="12">
        <f t="shared" si="31"/>
        <v>2400</v>
      </c>
      <c r="AA131" s="815">
        <v>1</v>
      </c>
      <c r="AB131" s="815">
        <v>1</v>
      </c>
      <c r="AC131" s="836">
        <f t="shared" si="32"/>
        <v>0</v>
      </c>
      <c r="AD131" s="836">
        <f t="shared" si="33"/>
        <v>0</v>
      </c>
      <c r="AE131" s="815">
        <v>1</v>
      </c>
      <c r="AF131" s="815">
        <v>1</v>
      </c>
      <c r="AG131" s="836">
        <f t="shared" si="34"/>
        <v>0</v>
      </c>
      <c r="AH131" s="836">
        <f t="shared" si="39"/>
        <v>0</v>
      </c>
      <c r="AI131" s="794">
        <f t="shared" si="36"/>
        <v>0</v>
      </c>
      <c r="AJ131" s="794">
        <f t="shared" si="37"/>
        <v>0</v>
      </c>
      <c r="AK131" s="237">
        <v>661274</v>
      </c>
      <c r="AL131" s="238">
        <v>131901</v>
      </c>
      <c r="AM131" s="239">
        <f t="shared" si="40"/>
        <v>793175</v>
      </c>
      <c r="AN131" s="647">
        <v>26192</v>
      </c>
      <c r="AO131" s="647">
        <v>26192</v>
      </c>
      <c r="AP131" s="652">
        <v>0</v>
      </c>
      <c r="AQ131" s="638">
        <v>146751</v>
      </c>
      <c r="AR131" s="638">
        <v>164701</v>
      </c>
      <c r="AS131" s="638">
        <v>178229</v>
      </c>
      <c r="AT131" s="638">
        <v>171593</v>
      </c>
      <c r="AU131" s="638">
        <v>7724</v>
      </c>
      <c r="AV131" s="638">
        <v>26192.1</v>
      </c>
      <c r="AW131" s="786">
        <v>30184.799999999999</v>
      </c>
      <c r="AX131" s="720">
        <v>30184</v>
      </c>
      <c r="AY131" s="720">
        <v>0</v>
      </c>
      <c r="AZ131" s="640">
        <v>67799.759999999995</v>
      </c>
      <c r="BA131" s="668"/>
      <c r="BB131" s="668"/>
      <c r="BC131" s="668"/>
      <c r="BD131" s="668"/>
      <c r="BE131" s="668"/>
      <c r="BF131" s="184"/>
      <c r="BG131" s="184">
        <v>0</v>
      </c>
      <c r="BH131" s="184">
        <v>26192</v>
      </c>
      <c r="BI131" s="181">
        <v>26192</v>
      </c>
      <c r="BJ131" s="181">
        <f t="shared" si="41"/>
        <v>26192</v>
      </c>
    </row>
    <row r="132" spans="1:62" ht="270.75" thickBot="1" x14ac:dyDescent="0.25">
      <c r="A132" s="42">
        <v>130</v>
      </c>
      <c r="B132" s="16" t="s">
        <v>79</v>
      </c>
      <c r="C132" s="16" t="s">
        <v>757</v>
      </c>
      <c r="D132" s="16" t="s">
        <v>759</v>
      </c>
      <c r="E132" s="16" t="s">
        <v>1228</v>
      </c>
      <c r="F132" s="16" t="s">
        <v>760</v>
      </c>
      <c r="G132" s="12" t="s">
        <v>818</v>
      </c>
      <c r="H132" s="636" t="s">
        <v>1464</v>
      </c>
      <c r="I132" s="600" t="s">
        <v>758</v>
      </c>
      <c r="J132" s="600" t="s">
        <v>992</v>
      </c>
      <c r="K132" s="600" t="s">
        <v>761</v>
      </c>
      <c r="L132" s="600" t="s">
        <v>10</v>
      </c>
      <c r="M132" s="611">
        <v>521</v>
      </c>
      <c r="N132" s="612">
        <v>134</v>
      </c>
      <c r="O132" s="633">
        <v>0.25719799999999998</v>
      </c>
      <c r="P132" s="600" t="s">
        <v>111</v>
      </c>
      <c r="Q132" s="600" t="s">
        <v>819</v>
      </c>
      <c r="R132" s="600">
        <v>0</v>
      </c>
      <c r="S132" s="600">
        <v>9784</v>
      </c>
      <c r="T132" s="600">
        <v>0</v>
      </c>
      <c r="U132" s="600">
        <v>9784</v>
      </c>
      <c r="V132" s="600">
        <v>0</v>
      </c>
      <c r="W132" s="600">
        <v>9784</v>
      </c>
      <c r="X132" s="6">
        <f t="shared" si="29"/>
        <v>0</v>
      </c>
      <c r="Y132" s="6">
        <f t="shared" si="30"/>
        <v>19568</v>
      </c>
      <c r="Z132" s="12">
        <f t="shared" si="31"/>
        <v>29352</v>
      </c>
      <c r="AA132" s="816">
        <v>0.24</v>
      </c>
      <c r="AB132" s="816">
        <v>0.20119999999999999</v>
      </c>
      <c r="AC132" s="836">
        <f t="shared" si="32"/>
        <v>0</v>
      </c>
      <c r="AD132" s="836">
        <f t="shared" si="33"/>
        <v>0</v>
      </c>
      <c r="AE132" s="816">
        <v>0.24</v>
      </c>
      <c r="AF132" s="816">
        <v>0.23779999999999998</v>
      </c>
      <c r="AG132" s="836">
        <f t="shared" si="34"/>
        <v>0</v>
      </c>
      <c r="AH132" s="836">
        <f t="shared" si="39"/>
        <v>0</v>
      </c>
      <c r="AI132" s="794">
        <f t="shared" si="36"/>
        <v>0</v>
      </c>
      <c r="AJ132" s="794">
        <f t="shared" si="37"/>
        <v>0</v>
      </c>
      <c r="AK132" s="656">
        <v>11379766</v>
      </c>
      <c r="AL132" s="238">
        <v>2206816</v>
      </c>
      <c r="AM132" s="238">
        <f t="shared" si="40"/>
        <v>13586582</v>
      </c>
      <c r="AN132" s="647">
        <v>507034</v>
      </c>
      <c r="AO132" s="647">
        <v>507034</v>
      </c>
      <c r="AP132" s="652">
        <v>0</v>
      </c>
      <c r="AQ132" s="638">
        <v>2525423</v>
      </c>
      <c r="AR132" s="638">
        <v>2834310</v>
      </c>
      <c r="AS132" s="638">
        <v>3067121</v>
      </c>
      <c r="AT132" s="638">
        <v>2952912</v>
      </c>
      <c r="AU132" s="638">
        <v>66458</v>
      </c>
      <c r="AV132" s="638">
        <v>507033.36</v>
      </c>
      <c r="AW132" s="786">
        <v>524151.05999999994</v>
      </c>
      <c r="AX132" s="720">
        <v>0</v>
      </c>
      <c r="AY132" s="720">
        <v>524151</v>
      </c>
      <c r="AZ132" s="640">
        <v>1109174.2199999997</v>
      </c>
      <c r="BA132" s="668"/>
      <c r="BB132" s="668"/>
      <c r="BC132" s="668"/>
      <c r="BD132" s="668"/>
      <c r="BE132" s="668"/>
      <c r="BF132" s="184"/>
      <c r="BG132" s="184">
        <v>0</v>
      </c>
      <c r="BH132" s="184">
        <v>507034</v>
      </c>
      <c r="BI132" s="181">
        <v>507034</v>
      </c>
      <c r="BJ132" s="181">
        <f t="shared" si="41"/>
        <v>507034</v>
      </c>
    </row>
    <row r="133" spans="1:62" ht="150.75" thickBot="1" x14ac:dyDescent="0.25">
      <c r="A133" s="42">
        <v>131</v>
      </c>
      <c r="B133" s="16" t="s">
        <v>79</v>
      </c>
      <c r="C133" s="16" t="s">
        <v>762</v>
      </c>
      <c r="D133" s="16" t="s">
        <v>759</v>
      </c>
      <c r="E133" s="16" t="s">
        <v>1228</v>
      </c>
      <c r="F133" s="16" t="s">
        <v>760</v>
      </c>
      <c r="G133" s="12" t="s">
        <v>820</v>
      </c>
      <c r="H133" s="636" t="s">
        <v>1465</v>
      </c>
      <c r="I133" s="600" t="s">
        <v>763</v>
      </c>
      <c r="J133" s="600" t="s">
        <v>992</v>
      </c>
      <c r="K133" s="600" t="s">
        <v>761</v>
      </c>
      <c r="L133" s="600" t="s">
        <v>10</v>
      </c>
      <c r="M133" s="611">
        <v>521</v>
      </c>
      <c r="N133" s="612">
        <v>134</v>
      </c>
      <c r="O133" s="633">
        <v>0.25719799999999998</v>
      </c>
      <c r="P133" s="600" t="s">
        <v>111</v>
      </c>
      <c r="Q133" s="600" t="s">
        <v>819</v>
      </c>
      <c r="R133" s="600">
        <v>6933</v>
      </c>
      <c r="S133" s="600">
        <v>27800</v>
      </c>
      <c r="T133" s="600">
        <v>6933</v>
      </c>
      <c r="U133" s="600">
        <v>27800</v>
      </c>
      <c r="V133" s="600">
        <v>6933</v>
      </c>
      <c r="W133" s="600">
        <v>27800</v>
      </c>
      <c r="X133" s="6">
        <f t="shared" si="29"/>
        <v>13866</v>
      </c>
      <c r="Y133" s="6">
        <f t="shared" si="30"/>
        <v>55600</v>
      </c>
      <c r="Z133" s="12">
        <f t="shared" si="31"/>
        <v>83400</v>
      </c>
      <c r="AA133" s="816">
        <v>0.24</v>
      </c>
      <c r="AB133" s="816">
        <v>0.1022</v>
      </c>
      <c r="AC133" s="836">
        <f t="shared" si="32"/>
        <v>1663.9199999999998</v>
      </c>
      <c r="AD133" s="836">
        <f t="shared" si="33"/>
        <v>708.55259999999998</v>
      </c>
      <c r="AE133" s="816">
        <v>0.24</v>
      </c>
      <c r="AF133" s="816">
        <v>0.13140000000000002</v>
      </c>
      <c r="AG133" s="836">
        <f t="shared" si="34"/>
        <v>1663.9199999999998</v>
      </c>
      <c r="AH133" s="836">
        <f t="shared" si="39"/>
        <v>910.99620000000016</v>
      </c>
      <c r="AI133" s="794">
        <f t="shared" si="36"/>
        <v>3327.8399999999997</v>
      </c>
      <c r="AJ133" s="794">
        <f t="shared" si="37"/>
        <v>1619.5488</v>
      </c>
      <c r="AK133" s="656">
        <v>19215796.600000001</v>
      </c>
      <c r="AL133" s="238">
        <v>2369736</v>
      </c>
      <c r="AM133" s="238">
        <f t="shared" si="40"/>
        <v>21585532.600000001</v>
      </c>
      <c r="AN133" s="647">
        <v>507034</v>
      </c>
      <c r="AO133" s="647">
        <v>507034</v>
      </c>
      <c r="AP133" s="652">
        <v>0</v>
      </c>
      <c r="AQ133" s="638">
        <v>4358197</v>
      </c>
      <c r="AR133" s="638">
        <v>4765449.5</v>
      </c>
      <c r="AS133" s="638">
        <v>5111870</v>
      </c>
      <c r="AT133" s="638">
        <v>4980280.0999999996</v>
      </c>
      <c r="AU133" s="638">
        <v>229378</v>
      </c>
      <c r="AV133" s="638">
        <v>507033.36</v>
      </c>
      <c r="AW133" s="786">
        <v>524151.05999999994</v>
      </c>
      <c r="AX133" s="720">
        <v>524152</v>
      </c>
      <c r="AY133" s="720">
        <v>0</v>
      </c>
      <c r="AZ133" s="640">
        <v>1109174.2199999997</v>
      </c>
      <c r="BA133" s="668"/>
      <c r="BB133" s="668"/>
      <c r="BC133" s="668"/>
      <c r="BD133" s="668"/>
      <c r="BE133" s="668"/>
      <c r="BF133" s="184"/>
      <c r="BG133" s="184">
        <v>0</v>
      </c>
      <c r="BH133" s="184">
        <v>507034</v>
      </c>
      <c r="BI133" s="181">
        <v>507034</v>
      </c>
      <c r="BJ133" s="181">
        <f t="shared" si="41"/>
        <v>507034</v>
      </c>
    </row>
    <row r="134" spans="1:62" ht="285.75" thickBot="1" x14ac:dyDescent="0.25">
      <c r="A134" s="42">
        <v>132</v>
      </c>
      <c r="B134" s="16" t="s">
        <v>79</v>
      </c>
      <c r="C134" s="16" t="s">
        <v>764</v>
      </c>
      <c r="D134" s="16" t="s">
        <v>759</v>
      </c>
      <c r="E134" s="16" t="s">
        <v>1248</v>
      </c>
      <c r="F134" s="16" t="s">
        <v>760</v>
      </c>
      <c r="G134" s="12" t="s">
        <v>821</v>
      </c>
      <c r="H134" s="636" t="s">
        <v>1466</v>
      </c>
      <c r="I134" s="600" t="s">
        <v>765</v>
      </c>
      <c r="J134" s="600" t="s">
        <v>1003</v>
      </c>
      <c r="K134" s="600" t="s">
        <v>766</v>
      </c>
      <c r="L134" s="600" t="s">
        <v>10</v>
      </c>
      <c r="M134" s="611">
        <v>1164</v>
      </c>
      <c r="N134" s="612">
        <v>725</v>
      </c>
      <c r="O134" s="633">
        <v>0.62285199999999996</v>
      </c>
      <c r="P134" s="600" t="s">
        <v>189</v>
      </c>
      <c r="Q134" s="600" t="s">
        <v>822</v>
      </c>
      <c r="R134" s="600">
        <v>0</v>
      </c>
      <c r="S134" s="600">
        <v>9500</v>
      </c>
      <c r="T134" s="600">
        <v>0</v>
      </c>
      <c r="U134" s="600">
        <v>9500</v>
      </c>
      <c r="V134" s="600">
        <v>0</v>
      </c>
      <c r="W134" s="600">
        <v>9500</v>
      </c>
      <c r="X134" s="6">
        <f t="shared" si="29"/>
        <v>0</v>
      </c>
      <c r="Y134" s="6">
        <f t="shared" si="30"/>
        <v>19000</v>
      </c>
      <c r="Z134" s="12">
        <f t="shared" si="31"/>
        <v>28500</v>
      </c>
      <c r="AA134" s="816">
        <v>0.23</v>
      </c>
      <c r="AB134" s="816">
        <v>3.2800000000000003E-2</v>
      </c>
      <c r="AC134" s="836">
        <f t="shared" si="32"/>
        <v>0</v>
      </c>
      <c r="AD134" s="836">
        <f t="shared" si="33"/>
        <v>0</v>
      </c>
      <c r="AE134" s="816">
        <v>0.23</v>
      </c>
      <c r="AF134" s="816">
        <v>0.1134</v>
      </c>
      <c r="AG134" s="836">
        <f t="shared" si="34"/>
        <v>0</v>
      </c>
      <c r="AH134" s="836">
        <f t="shared" si="39"/>
        <v>0</v>
      </c>
      <c r="AI134" s="794">
        <f t="shared" si="36"/>
        <v>0</v>
      </c>
      <c r="AJ134" s="794">
        <f t="shared" si="37"/>
        <v>0</v>
      </c>
      <c r="AK134" s="656">
        <v>13982383</v>
      </c>
      <c r="AL134" s="238">
        <v>2663449</v>
      </c>
      <c r="AM134" s="238">
        <f t="shared" si="40"/>
        <v>16645832</v>
      </c>
      <c r="AN134" s="647">
        <v>591538</v>
      </c>
      <c r="AO134" s="647">
        <v>591538</v>
      </c>
      <c r="AP134" s="652">
        <v>0</v>
      </c>
      <c r="AQ134" s="638">
        <v>3160890</v>
      </c>
      <c r="AR134" s="638">
        <v>3564914</v>
      </c>
      <c r="AS134" s="638">
        <v>3707510</v>
      </c>
      <c r="AT134" s="638">
        <v>3549069</v>
      </c>
      <c r="AU134" s="638">
        <v>166363</v>
      </c>
      <c r="AV134" s="638">
        <v>591538.92000000004</v>
      </c>
      <c r="AW134" s="786">
        <v>611509.56999999995</v>
      </c>
      <c r="AX134" s="720">
        <v>611510</v>
      </c>
      <c r="AY134" s="720">
        <v>0</v>
      </c>
      <c r="AZ134" s="640">
        <v>1294036.5899999999</v>
      </c>
      <c r="BA134" s="668"/>
      <c r="BB134" s="668"/>
      <c r="BC134" s="668"/>
      <c r="BD134" s="668"/>
      <c r="BE134" s="668"/>
      <c r="BF134" s="184"/>
      <c r="BG134" s="184">
        <v>0</v>
      </c>
      <c r="BH134" s="184">
        <v>591538</v>
      </c>
      <c r="BI134" s="181">
        <v>591538</v>
      </c>
      <c r="BJ134" s="181">
        <f t="shared" si="41"/>
        <v>591538</v>
      </c>
    </row>
    <row r="135" spans="1:62" ht="105" customHeight="1" thickBot="1" x14ac:dyDescent="0.25">
      <c r="A135" s="226">
        <v>133</v>
      </c>
      <c r="B135" s="16" t="s">
        <v>351</v>
      </c>
      <c r="C135" s="16" t="s">
        <v>767</v>
      </c>
      <c r="D135" s="16" t="s">
        <v>759</v>
      </c>
      <c r="E135" s="16" t="s">
        <v>1228</v>
      </c>
      <c r="F135" s="16" t="s">
        <v>760</v>
      </c>
      <c r="G135" s="12" t="s">
        <v>823</v>
      </c>
      <c r="H135" s="648" t="s">
        <v>1467</v>
      </c>
      <c r="I135" s="600" t="s">
        <v>768</v>
      </c>
      <c r="J135" s="600" t="s">
        <v>992</v>
      </c>
      <c r="K135" s="600" t="s">
        <v>769</v>
      </c>
      <c r="L135" s="600" t="s">
        <v>10</v>
      </c>
      <c r="M135" s="654" t="s">
        <v>34</v>
      </c>
      <c r="N135" s="654" t="s">
        <v>281</v>
      </c>
      <c r="O135" s="654" t="s">
        <v>34</v>
      </c>
      <c r="P135" s="600" t="s">
        <v>111</v>
      </c>
      <c r="Q135" s="600" t="s">
        <v>819</v>
      </c>
      <c r="R135" s="600">
        <v>0</v>
      </c>
      <c r="S135" s="600">
        <v>1600</v>
      </c>
      <c r="T135" s="600">
        <v>0</v>
      </c>
      <c r="U135" s="600">
        <v>1600</v>
      </c>
      <c r="V135" s="600">
        <v>0</v>
      </c>
      <c r="W135" s="619">
        <v>1600</v>
      </c>
      <c r="X135" s="6">
        <f t="shared" si="29"/>
        <v>0</v>
      </c>
      <c r="Y135" s="6">
        <f t="shared" si="30"/>
        <v>3200</v>
      </c>
      <c r="Z135" s="12">
        <f t="shared" si="31"/>
        <v>4800</v>
      </c>
      <c r="AA135" s="816">
        <v>0</v>
      </c>
      <c r="AB135" s="816" t="s">
        <v>1553</v>
      </c>
      <c r="AC135" s="836">
        <f t="shared" si="32"/>
        <v>0</v>
      </c>
      <c r="AD135" s="836" t="e">
        <f t="shared" si="33"/>
        <v>#VALUE!</v>
      </c>
      <c r="AE135" s="816">
        <v>0.33</v>
      </c>
      <c r="AF135" s="816">
        <v>0</v>
      </c>
      <c r="AG135" s="836">
        <f t="shared" si="34"/>
        <v>0</v>
      </c>
      <c r="AH135" s="836">
        <f t="shared" si="39"/>
        <v>0</v>
      </c>
      <c r="AI135" s="794">
        <f t="shared" si="36"/>
        <v>0</v>
      </c>
      <c r="AJ135" s="794">
        <v>0</v>
      </c>
      <c r="AK135" s="656">
        <v>2119397.17</v>
      </c>
      <c r="AL135" s="238">
        <v>1049805</v>
      </c>
      <c r="AM135" s="238">
        <f t="shared" si="40"/>
        <v>3169202.17</v>
      </c>
      <c r="AN135" s="647">
        <v>86228</v>
      </c>
      <c r="AO135" s="647">
        <v>172456</v>
      </c>
      <c r="AP135" s="652">
        <v>86228</v>
      </c>
      <c r="AQ135" s="649">
        <v>518329.87738350901</v>
      </c>
      <c r="AR135" s="649">
        <v>565470.06000000006</v>
      </c>
      <c r="AS135" s="649">
        <v>567112.87</v>
      </c>
      <c r="AT135" s="649">
        <v>468484.37</v>
      </c>
      <c r="AU135" s="649">
        <v>92486</v>
      </c>
      <c r="AV135" s="649">
        <v>172455.87200000961</v>
      </c>
      <c r="AW135" s="779">
        <v>250617.71159999742</v>
      </c>
      <c r="AX135" s="779">
        <v>250618</v>
      </c>
      <c r="AY135" s="779">
        <v>0</v>
      </c>
      <c r="AZ135" s="665">
        <v>534244.73700799595</v>
      </c>
      <c r="BA135" s="668"/>
      <c r="BB135" s="668"/>
      <c r="BC135" s="668"/>
      <c r="BD135" s="668"/>
      <c r="BE135" s="668"/>
      <c r="BF135" s="184"/>
      <c r="BG135" s="184">
        <v>90495</v>
      </c>
      <c r="BH135" s="184">
        <v>86228</v>
      </c>
      <c r="BI135" s="181">
        <v>172456</v>
      </c>
      <c r="BJ135" s="181">
        <f t="shared" si="41"/>
        <v>176723</v>
      </c>
    </row>
    <row r="136" spans="1:62" ht="120.75" thickBot="1" x14ac:dyDescent="0.25">
      <c r="A136" s="41">
        <v>134</v>
      </c>
      <c r="B136" s="222" t="s">
        <v>266</v>
      </c>
      <c r="C136" s="222" t="s">
        <v>770</v>
      </c>
      <c r="D136" s="222" t="s">
        <v>759</v>
      </c>
      <c r="E136" s="222" t="s">
        <v>1228</v>
      </c>
      <c r="F136" s="222" t="s">
        <v>760</v>
      </c>
      <c r="G136" s="212" t="s">
        <v>824</v>
      </c>
      <c r="H136" s="650" t="s">
        <v>1468</v>
      </c>
      <c r="I136" s="16" t="s">
        <v>771</v>
      </c>
      <c r="J136" s="16" t="s">
        <v>1003</v>
      </c>
      <c r="K136" s="16" t="s">
        <v>772</v>
      </c>
      <c r="L136" s="16" t="s">
        <v>10</v>
      </c>
      <c r="M136" s="14">
        <v>19</v>
      </c>
      <c r="N136" s="6">
        <v>869.04</v>
      </c>
      <c r="O136" s="15">
        <v>45.738950000000003</v>
      </c>
      <c r="P136" s="16" t="s">
        <v>111</v>
      </c>
      <c r="Q136" s="16" t="s">
        <v>825</v>
      </c>
      <c r="R136" s="16">
        <v>38502</v>
      </c>
      <c r="S136" s="16">
        <v>9240</v>
      </c>
      <c r="T136" s="16">
        <v>12031</v>
      </c>
      <c r="U136" s="16">
        <v>17724</v>
      </c>
      <c r="V136" s="16">
        <v>19180</v>
      </c>
      <c r="W136" s="16">
        <v>21420</v>
      </c>
      <c r="X136" s="6">
        <f t="shared" si="29"/>
        <v>31211</v>
      </c>
      <c r="Y136" s="6">
        <f t="shared" si="30"/>
        <v>26964</v>
      </c>
      <c r="Z136" s="12">
        <f t="shared" si="31"/>
        <v>48384</v>
      </c>
      <c r="AA136" s="817">
        <v>0.72</v>
      </c>
      <c r="AB136" s="817">
        <v>0.79510000000000003</v>
      </c>
      <c r="AC136" s="836">
        <f t="shared" si="32"/>
        <v>8662.32</v>
      </c>
      <c r="AD136" s="836">
        <f t="shared" si="33"/>
        <v>9565.8481000000011</v>
      </c>
      <c r="AE136" s="817">
        <v>0.72</v>
      </c>
      <c r="AF136" s="817">
        <v>0.7853</v>
      </c>
      <c r="AG136" s="836">
        <f t="shared" si="34"/>
        <v>13809.6</v>
      </c>
      <c r="AH136" s="836">
        <f t="shared" si="39"/>
        <v>15062.054</v>
      </c>
      <c r="AI136" s="794">
        <f t="shared" si="36"/>
        <v>22471.919999999998</v>
      </c>
      <c r="AJ136" s="794">
        <f t="shared" si="37"/>
        <v>24627.902099999999</v>
      </c>
      <c r="AK136" s="748">
        <v>14644436</v>
      </c>
      <c r="AL136" s="754">
        <v>3682244</v>
      </c>
      <c r="AM136" s="62">
        <f t="shared" si="40"/>
        <v>18326680</v>
      </c>
      <c r="AN136" s="77">
        <v>504766</v>
      </c>
      <c r="AO136" s="77">
        <v>504766</v>
      </c>
      <c r="AP136" s="171">
        <v>0</v>
      </c>
      <c r="AQ136" s="646">
        <v>3504621.6136667798</v>
      </c>
      <c r="AR136" s="646">
        <v>3937819.02</v>
      </c>
      <c r="AS136" s="646">
        <v>3944148.77</v>
      </c>
      <c r="AT136" s="646">
        <v>3257846.6</v>
      </c>
      <c r="AU136" s="646">
        <v>428310.18984315009</v>
      </c>
      <c r="AV136" s="646">
        <v>504765.54408800008</v>
      </c>
      <c r="AW136" s="786">
        <v>811772.85503600002</v>
      </c>
      <c r="AX136" s="720">
        <v>811772</v>
      </c>
      <c r="AY136" s="720">
        <v>0</v>
      </c>
      <c r="AZ136" s="666">
        <v>1937395.5173559999</v>
      </c>
      <c r="BA136" s="668"/>
      <c r="BB136" s="668"/>
      <c r="BC136" s="668"/>
      <c r="BD136" s="668"/>
      <c r="BE136" s="668"/>
      <c r="BF136" s="184"/>
      <c r="BG136" s="184">
        <v>0</v>
      </c>
      <c r="BH136" s="184">
        <v>504766</v>
      </c>
      <c r="BI136" s="181">
        <v>504766</v>
      </c>
      <c r="BJ136" s="181">
        <f t="shared" si="41"/>
        <v>504766</v>
      </c>
    </row>
    <row r="137" spans="1:62" ht="135.75" thickBot="1" x14ac:dyDescent="0.25">
      <c r="A137" s="41">
        <v>135</v>
      </c>
      <c r="B137" s="16" t="s">
        <v>266</v>
      </c>
      <c r="C137" s="16" t="s">
        <v>773</v>
      </c>
      <c r="D137" s="16" t="s">
        <v>759</v>
      </c>
      <c r="E137" s="16" t="s">
        <v>1242</v>
      </c>
      <c r="F137" s="16" t="s">
        <v>760</v>
      </c>
      <c r="G137" s="12" t="s">
        <v>826</v>
      </c>
      <c r="H137" s="636" t="s">
        <v>1469</v>
      </c>
      <c r="I137" s="600" t="s">
        <v>774</v>
      </c>
      <c r="J137" s="600" t="s">
        <v>1002</v>
      </c>
      <c r="K137" s="600" t="s">
        <v>775</v>
      </c>
      <c r="L137" s="600" t="s">
        <v>63</v>
      </c>
      <c r="M137" s="611" t="s">
        <v>827</v>
      </c>
      <c r="N137" s="612" t="s">
        <v>828</v>
      </c>
      <c r="O137" s="633" t="s">
        <v>829</v>
      </c>
      <c r="P137" s="600" t="s">
        <v>189</v>
      </c>
      <c r="Q137" s="600" t="s">
        <v>830</v>
      </c>
      <c r="R137" s="600">
        <v>0</v>
      </c>
      <c r="S137" s="600">
        <v>2500</v>
      </c>
      <c r="T137" s="600">
        <v>20965</v>
      </c>
      <c r="U137" s="600">
        <v>4000</v>
      </c>
      <c r="V137" s="600">
        <v>81646</v>
      </c>
      <c r="W137" s="600">
        <v>26965</v>
      </c>
      <c r="X137" s="6">
        <f t="shared" si="29"/>
        <v>102611</v>
      </c>
      <c r="Y137" s="6">
        <f t="shared" si="30"/>
        <v>6500</v>
      </c>
      <c r="Z137" s="12">
        <f t="shared" si="31"/>
        <v>33465</v>
      </c>
      <c r="AA137" s="816">
        <v>0.86</v>
      </c>
      <c r="AB137" s="816">
        <v>0.82519999999999993</v>
      </c>
      <c r="AC137" s="836">
        <f t="shared" si="32"/>
        <v>18029.900000000001</v>
      </c>
      <c r="AD137" s="836">
        <f t="shared" si="33"/>
        <v>17300.317999999999</v>
      </c>
      <c r="AE137" s="816">
        <v>0.86</v>
      </c>
      <c r="AF137" s="816">
        <v>0.80110000000000003</v>
      </c>
      <c r="AG137" s="836">
        <f t="shared" si="34"/>
        <v>70215.56</v>
      </c>
      <c r="AH137" s="836">
        <f t="shared" si="39"/>
        <v>65406.6106</v>
      </c>
      <c r="AI137" s="794">
        <f t="shared" si="36"/>
        <v>88245.459999999992</v>
      </c>
      <c r="AJ137" s="794">
        <f t="shared" si="37"/>
        <v>82706.928599999999</v>
      </c>
      <c r="AK137" s="656">
        <v>25383532</v>
      </c>
      <c r="AL137" s="238">
        <v>4116284</v>
      </c>
      <c r="AM137" s="238">
        <f t="shared" si="40"/>
        <v>29499816</v>
      </c>
      <c r="AN137" s="657">
        <v>563007</v>
      </c>
      <c r="AO137" s="657">
        <v>563007</v>
      </c>
      <c r="AP137" s="685">
        <v>0</v>
      </c>
      <c r="AQ137" s="638">
        <v>6207912</v>
      </c>
      <c r="AR137" s="638">
        <v>6772498</v>
      </c>
      <c r="AS137" s="638">
        <v>6792186</v>
      </c>
      <c r="AT137" s="638">
        <v>5610936</v>
      </c>
      <c r="AU137" s="638">
        <v>486896</v>
      </c>
      <c r="AV137" s="638">
        <v>563007.72225200012</v>
      </c>
      <c r="AW137" s="786">
        <v>905438</v>
      </c>
      <c r="AX137" s="720">
        <v>452720</v>
      </c>
      <c r="AY137" s="720">
        <v>452720</v>
      </c>
      <c r="AZ137" s="640">
        <v>2160941.1539739999</v>
      </c>
      <c r="BA137" s="668"/>
      <c r="BB137" s="668"/>
      <c r="BC137" s="668"/>
      <c r="BD137" s="668"/>
      <c r="BE137" s="668"/>
      <c r="BF137" s="183"/>
      <c r="BG137" s="183">
        <v>0</v>
      </c>
      <c r="BH137" s="183">
        <f>141028+421979</f>
        <v>563007</v>
      </c>
      <c r="BI137" s="180">
        <f>141028+421979</f>
        <v>563007</v>
      </c>
      <c r="BJ137" s="181">
        <f t="shared" si="41"/>
        <v>563007</v>
      </c>
    </row>
    <row r="138" spans="1:62" ht="74.099999999999994" customHeight="1" thickBot="1" x14ac:dyDescent="0.25">
      <c r="A138" s="42">
        <v>136</v>
      </c>
      <c r="B138" s="16" t="s">
        <v>776</v>
      </c>
      <c r="C138" s="16" t="s">
        <v>777</v>
      </c>
      <c r="D138" s="16" t="s">
        <v>759</v>
      </c>
      <c r="E138" s="16" t="s">
        <v>1225</v>
      </c>
      <c r="F138" s="16" t="s">
        <v>1028</v>
      </c>
      <c r="G138" s="12" t="s">
        <v>831</v>
      </c>
      <c r="H138" s="636" t="s">
        <v>1470</v>
      </c>
      <c r="I138" s="600" t="s">
        <v>778</v>
      </c>
      <c r="J138" s="600" t="s">
        <v>992</v>
      </c>
      <c r="K138" s="600" t="s">
        <v>355</v>
      </c>
      <c r="L138" s="600" t="s">
        <v>10</v>
      </c>
      <c r="M138" s="611">
        <v>3.4063000000000003E-2</v>
      </c>
      <c r="N138" s="612">
        <v>8.6209999999999995E-2</v>
      </c>
      <c r="O138" s="633">
        <v>2.5307810000000002</v>
      </c>
      <c r="P138" s="600" t="s">
        <v>111</v>
      </c>
      <c r="Q138" s="600" t="s">
        <v>832</v>
      </c>
      <c r="R138" s="600">
        <v>0</v>
      </c>
      <c r="S138" s="600">
        <v>0</v>
      </c>
      <c r="T138" s="600">
        <v>0</v>
      </c>
      <c r="U138" s="600">
        <v>0</v>
      </c>
      <c r="V138" s="600">
        <v>0</v>
      </c>
      <c r="W138" s="600">
        <v>200</v>
      </c>
      <c r="X138" s="6">
        <f t="shared" si="29"/>
        <v>0</v>
      </c>
      <c r="Y138" s="6">
        <f t="shared" si="30"/>
        <v>0</v>
      </c>
      <c r="Z138" s="12">
        <f t="shared" si="31"/>
        <v>200</v>
      </c>
      <c r="AA138" s="816">
        <v>0</v>
      </c>
      <c r="AB138" s="816" t="s">
        <v>1553</v>
      </c>
      <c r="AC138" s="836">
        <f t="shared" si="32"/>
        <v>0</v>
      </c>
      <c r="AD138" s="836" t="e">
        <f t="shared" si="33"/>
        <v>#VALUE!</v>
      </c>
      <c r="AE138" s="816">
        <v>0.2</v>
      </c>
      <c r="AF138" s="816" t="s">
        <v>1553</v>
      </c>
      <c r="AG138" s="836">
        <f t="shared" si="34"/>
        <v>0</v>
      </c>
      <c r="AH138" s="836">
        <v>0</v>
      </c>
      <c r="AI138" s="794">
        <f t="shared" si="36"/>
        <v>0</v>
      </c>
      <c r="AJ138" s="794">
        <v>0</v>
      </c>
      <c r="AK138" s="656">
        <v>449950</v>
      </c>
      <c r="AL138" s="238">
        <v>177740</v>
      </c>
      <c r="AM138" s="238">
        <f t="shared" si="40"/>
        <v>627690</v>
      </c>
      <c r="AN138" s="647">
        <v>36600</v>
      </c>
      <c r="AO138" s="647">
        <v>36600</v>
      </c>
      <c r="AP138" s="652">
        <v>0</v>
      </c>
      <c r="AQ138" s="638">
        <v>61920</v>
      </c>
      <c r="AR138" s="638">
        <v>134790</v>
      </c>
      <c r="AS138" s="638">
        <v>133940</v>
      </c>
      <c r="AT138" s="638">
        <v>119300</v>
      </c>
      <c r="AU138" s="638">
        <v>30640</v>
      </c>
      <c r="AV138" s="638">
        <v>36600</v>
      </c>
      <c r="AW138" s="786">
        <v>42300</v>
      </c>
      <c r="AX138" s="720">
        <v>42300</v>
      </c>
      <c r="AY138" s="720">
        <v>0</v>
      </c>
      <c r="AZ138" s="640">
        <v>68200</v>
      </c>
      <c r="BA138" s="668"/>
      <c r="BB138" s="668"/>
      <c r="BC138" s="668"/>
      <c r="BD138" s="668"/>
      <c r="BE138" s="668"/>
      <c r="BF138" s="184"/>
      <c r="BG138" s="184">
        <v>0</v>
      </c>
      <c r="BH138" s="184">
        <v>36600</v>
      </c>
      <c r="BI138" s="181">
        <v>36600</v>
      </c>
      <c r="BJ138" s="181">
        <f t="shared" si="41"/>
        <v>36600</v>
      </c>
    </row>
    <row r="139" spans="1:62" ht="105.6" customHeight="1" thickBot="1" x14ac:dyDescent="0.25">
      <c r="A139" s="42">
        <v>137</v>
      </c>
      <c r="B139" s="16" t="s">
        <v>301</v>
      </c>
      <c r="C139" s="16" t="s">
        <v>779</v>
      </c>
      <c r="D139" s="16" t="s">
        <v>759</v>
      </c>
      <c r="E139" s="16" t="s">
        <v>1228</v>
      </c>
      <c r="F139" s="16" t="s">
        <v>760</v>
      </c>
      <c r="G139" s="12" t="s">
        <v>833</v>
      </c>
      <c r="H139" s="636" t="s">
        <v>1471</v>
      </c>
      <c r="I139" s="600" t="s">
        <v>780</v>
      </c>
      <c r="J139" s="600" t="s">
        <v>1263</v>
      </c>
      <c r="K139" s="600" t="s">
        <v>781</v>
      </c>
      <c r="L139" s="600" t="s">
        <v>63</v>
      </c>
      <c r="M139" s="654" t="s">
        <v>834</v>
      </c>
      <c r="N139" s="654" t="s">
        <v>835</v>
      </c>
      <c r="O139" s="654" t="s">
        <v>836</v>
      </c>
      <c r="P139" s="600" t="s">
        <v>111</v>
      </c>
      <c r="Q139" s="209" t="s">
        <v>819</v>
      </c>
      <c r="R139" s="209">
        <v>20031</v>
      </c>
      <c r="S139" s="600">
        <v>4826</v>
      </c>
      <c r="T139" s="600">
        <v>20031</v>
      </c>
      <c r="U139" s="600">
        <v>4826</v>
      </c>
      <c r="V139" s="600">
        <v>20031</v>
      </c>
      <c r="W139" s="600">
        <v>4826</v>
      </c>
      <c r="X139" s="6">
        <f t="shared" si="29"/>
        <v>40062</v>
      </c>
      <c r="Y139" s="6">
        <f t="shared" si="30"/>
        <v>9652</v>
      </c>
      <c r="Z139" s="12">
        <f t="shared" si="31"/>
        <v>14478</v>
      </c>
      <c r="AA139" s="816">
        <v>0.49</v>
      </c>
      <c r="AB139" s="816">
        <v>0.55999999999999994</v>
      </c>
      <c r="AC139" s="836">
        <f t="shared" si="32"/>
        <v>9815.19</v>
      </c>
      <c r="AD139" s="836">
        <f t="shared" si="33"/>
        <v>11217.359999999999</v>
      </c>
      <c r="AE139" s="816">
        <v>0.49</v>
      </c>
      <c r="AF139" s="816">
        <v>0.5</v>
      </c>
      <c r="AG139" s="836">
        <f t="shared" si="34"/>
        <v>9815.19</v>
      </c>
      <c r="AH139" s="836">
        <f t="shared" ref="AH139:AH162" si="42">AF139*V139</f>
        <v>10015.5</v>
      </c>
      <c r="AI139" s="794">
        <f t="shared" si="36"/>
        <v>19630.38</v>
      </c>
      <c r="AJ139" s="794">
        <f t="shared" si="37"/>
        <v>21232.86</v>
      </c>
      <c r="AK139" s="656">
        <v>8786001</v>
      </c>
      <c r="AL139" s="238">
        <v>2149629</v>
      </c>
      <c r="AM139" s="238">
        <f t="shared" si="40"/>
        <v>10935630</v>
      </c>
      <c r="AN139" s="224">
        <v>193096</v>
      </c>
      <c r="AO139" s="224">
        <v>265507</v>
      </c>
      <c r="AP139" s="597">
        <v>72411</v>
      </c>
      <c r="AQ139" s="638">
        <v>2148744</v>
      </c>
      <c r="AR139" s="638">
        <v>2344165</v>
      </c>
      <c r="AS139" s="638">
        <v>2350979</v>
      </c>
      <c r="AT139" s="638">
        <v>1942113</v>
      </c>
      <c r="AU139" s="638">
        <v>252793.5</v>
      </c>
      <c r="AV139" s="638">
        <v>289642.14</v>
      </c>
      <c r="AW139" s="786">
        <v>510091.5</v>
      </c>
      <c r="AX139" s="720">
        <v>510092</v>
      </c>
      <c r="AY139" s="720">
        <v>0</v>
      </c>
      <c r="AZ139" s="640">
        <v>1142417.79</v>
      </c>
      <c r="BA139" s="668"/>
      <c r="BB139" s="668"/>
      <c r="BC139" s="668"/>
      <c r="BD139" s="668"/>
      <c r="BE139" s="668"/>
      <c r="BF139" s="182"/>
      <c r="BG139" s="182">
        <v>72411</v>
      </c>
      <c r="BH139" s="182">
        <f>48274+144822</f>
        <v>193096</v>
      </c>
      <c r="BI139" s="179">
        <f>120685+144822</f>
        <v>265507</v>
      </c>
      <c r="BJ139" s="181">
        <f>BG139+BH139</f>
        <v>265507</v>
      </c>
    </row>
    <row r="140" spans="1:62" ht="165.75" thickBot="1" x14ac:dyDescent="0.25">
      <c r="A140" s="42">
        <v>138</v>
      </c>
      <c r="B140" s="16" t="s">
        <v>301</v>
      </c>
      <c r="C140" s="16" t="s">
        <v>782</v>
      </c>
      <c r="D140" s="16" t="s">
        <v>759</v>
      </c>
      <c r="E140" s="16" t="s">
        <v>1228</v>
      </c>
      <c r="F140" s="16" t="s">
        <v>760</v>
      </c>
      <c r="G140" s="12" t="s">
        <v>837</v>
      </c>
      <c r="H140" s="636" t="s">
        <v>1472</v>
      </c>
      <c r="I140" s="600" t="s">
        <v>783</v>
      </c>
      <c r="J140" s="600" t="s">
        <v>1002</v>
      </c>
      <c r="K140" s="600" t="s">
        <v>784</v>
      </c>
      <c r="L140" s="600" t="s">
        <v>63</v>
      </c>
      <c r="M140" s="731" t="s">
        <v>838</v>
      </c>
      <c r="N140" s="733" t="s">
        <v>839</v>
      </c>
      <c r="O140" s="658" t="s">
        <v>840</v>
      </c>
      <c r="P140" s="600" t="s">
        <v>111</v>
      </c>
      <c r="Q140" s="600" t="s">
        <v>819</v>
      </c>
      <c r="R140" s="600">
        <v>1977</v>
      </c>
      <c r="S140" s="600">
        <v>1318</v>
      </c>
      <c r="T140" s="600">
        <v>1977</v>
      </c>
      <c r="U140" s="600">
        <v>1318</v>
      </c>
      <c r="V140" s="600">
        <v>1977</v>
      </c>
      <c r="W140" s="600">
        <v>1318</v>
      </c>
      <c r="X140" s="6">
        <f t="shared" si="29"/>
        <v>3954</v>
      </c>
      <c r="Y140" s="6">
        <f t="shared" si="30"/>
        <v>2636</v>
      </c>
      <c r="Z140" s="12">
        <f t="shared" si="31"/>
        <v>3954</v>
      </c>
      <c r="AA140" s="816">
        <v>0.44</v>
      </c>
      <c r="AB140" s="816">
        <v>0.59000000000000008</v>
      </c>
      <c r="AC140" s="836">
        <f t="shared" si="32"/>
        <v>869.88</v>
      </c>
      <c r="AD140" s="836">
        <f t="shared" si="33"/>
        <v>1166.43</v>
      </c>
      <c r="AE140" s="816">
        <v>0.44</v>
      </c>
      <c r="AF140" s="816">
        <v>0.51</v>
      </c>
      <c r="AG140" s="836">
        <f t="shared" si="34"/>
        <v>869.88</v>
      </c>
      <c r="AH140" s="836">
        <f t="shared" si="42"/>
        <v>1008.27</v>
      </c>
      <c r="AI140" s="794">
        <f t="shared" si="36"/>
        <v>1739.76</v>
      </c>
      <c r="AJ140" s="794">
        <f t="shared" si="37"/>
        <v>2174.6999999999998</v>
      </c>
      <c r="AK140" s="656">
        <v>3406630</v>
      </c>
      <c r="AL140" s="238">
        <v>837781</v>
      </c>
      <c r="AM140" s="238">
        <f t="shared" si="40"/>
        <v>4244411</v>
      </c>
      <c r="AN140" s="224">
        <v>84720</v>
      </c>
      <c r="AO140" s="224">
        <v>112960</v>
      </c>
      <c r="AP140" s="597">
        <v>28240</v>
      </c>
      <c r="AQ140" s="638">
        <v>833141</v>
      </c>
      <c r="AR140" s="638">
        <v>908912</v>
      </c>
      <c r="AS140" s="638">
        <v>911554</v>
      </c>
      <c r="AT140" s="638">
        <v>753023</v>
      </c>
      <c r="AU140" s="638">
        <v>98017</v>
      </c>
      <c r="AV140" s="638">
        <v>112960.44</v>
      </c>
      <c r="AW140" s="786">
        <v>135946.5</v>
      </c>
      <c r="AX140" s="720">
        <v>135947</v>
      </c>
      <c r="AY140" s="720">
        <v>0</v>
      </c>
      <c r="AZ140" s="640">
        <v>445542.94</v>
      </c>
      <c r="BA140" s="668"/>
      <c r="BB140" s="668"/>
      <c r="BC140" s="668"/>
      <c r="BD140" s="668"/>
      <c r="BE140" s="668"/>
      <c r="BF140" s="182"/>
      <c r="BG140" s="183">
        <v>28240</v>
      </c>
      <c r="BH140" s="182">
        <f>56480+28240</f>
        <v>84720</v>
      </c>
      <c r="BI140" s="179">
        <f>56480*2</f>
        <v>112960</v>
      </c>
      <c r="BJ140" s="186">
        <f>BG140+BH140</f>
        <v>112960</v>
      </c>
    </row>
    <row r="141" spans="1:62" ht="105" customHeight="1" thickBot="1" x14ac:dyDescent="0.25">
      <c r="A141" s="42">
        <v>139</v>
      </c>
      <c r="B141" s="16" t="s">
        <v>301</v>
      </c>
      <c r="C141" s="16" t="s">
        <v>785</v>
      </c>
      <c r="D141" s="16" t="s">
        <v>759</v>
      </c>
      <c r="E141" s="16" t="s">
        <v>1228</v>
      </c>
      <c r="F141" s="16" t="s">
        <v>760</v>
      </c>
      <c r="G141" s="12" t="s">
        <v>841</v>
      </c>
      <c r="H141" s="636" t="s">
        <v>1473</v>
      </c>
      <c r="I141" s="600" t="s">
        <v>786</v>
      </c>
      <c r="J141" s="600" t="s">
        <v>1263</v>
      </c>
      <c r="K141" s="600" t="s">
        <v>781</v>
      </c>
      <c r="L141" s="600" t="s">
        <v>63</v>
      </c>
      <c r="M141" s="654" t="s">
        <v>842</v>
      </c>
      <c r="N141" s="654" t="s">
        <v>843</v>
      </c>
      <c r="O141" s="654" t="s">
        <v>844</v>
      </c>
      <c r="P141" s="600" t="s">
        <v>111</v>
      </c>
      <c r="Q141" s="209" t="s">
        <v>819</v>
      </c>
      <c r="R141" s="209">
        <v>6408</v>
      </c>
      <c r="S141" s="600">
        <v>4476</v>
      </c>
      <c r="T141" s="600">
        <v>6408</v>
      </c>
      <c r="U141" s="600">
        <v>4476</v>
      </c>
      <c r="V141" s="600">
        <v>6408</v>
      </c>
      <c r="W141" s="600">
        <v>4476</v>
      </c>
      <c r="X141" s="6">
        <f t="shared" si="29"/>
        <v>12816</v>
      </c>
      <c r="Y141" s="6">
        <f t="shared" si="30"/>
        <v>8952</v>
      </c>
      <c r="Z141" s="12">
        <f t="shared" si="31"/>
        <v>13428</v>
      </c>
      <c r="AA141" s="816">
        <v>0.44</v>
      </c>
      <c r="AB141" s="816">
        <v>0.45369999999999999</v>
      </c>
      <c r="AC141" s="836">
        <f t="shared" si="32"/>
        <v>2819.52</v>
      </c>
      <c r="AD141" s="836">
        <f t="shared" si="33"/>
        <v>2907.3096</v>
      </c>
      <c r="AE141" s="816">
        <v>0.44</v>
      </c>
      <c r="AF141" s="816">
        <v>0.45999999999999996</v>
      </c>
      <c r="AG141" s="836">
        <f t="shared" si="34"/>
        <v>2819.52</v>
      </c>
      <c r="AH141" s="836">
        <f t="shared" si="42"/>
        <v>2947.68</v>
      </c>
      <c r="AI141" s="794">
        <f t="shared" si="36"/>
        <v>5639.04</v>
      </c>
      <c r="AJ141" s="794">
        <f t="shared" si="37"/>
        <v>5854.9895999999999</v>
      </c>
      <c r="AK141" s="656">
        <v>3788492</v>
      </c>
      <c r="AL141" s="238">
        <v>943610</v>
      </c>
      <c r="AM141" s="238">
        <f t="shared" si="40"/>
        <v>4732102</v>
      </c>
      <c r="AN141" s="224">
        <v>95583</v>
      </c>
      <c r="AO141" s="224">
        <v>127444</v>
      </c>
      <c r="AP141" s="597">
        <v>31861</v>
      </c>
      <c r="AQ141" s="638">
        <v>926531</v>
      </c>
      <c r="AR141" s="638">
        <v>1010795</v>
      </c>
      <c r="AS141" s="638">
        <v>1013734</v>
      </c>
      <c r="AT141" s="638">
        <v>837432</v>
      </c>
      <c r="AU141" s="638">
        <v>109004</v>
      </c>
      <c r="AV141" s="638">
        <v>127442.54999999999</v>
      </c>
      <c r="AW141" s="786">
        <v>204500</v>
      </c>
      <c r="AX141" s="720">
        <v>153375</v>
      </c>
      <c r="AY141" s="720">
        <v>51125</v>
      </c>
      <c r="AZ141" s="640">
        <v>502663.82999999996</v>
      </c>
      <c r="BA141" s="668"/>
      <c r="BB141" s="668"/>
      <c r="BC141" s="668"/>
      <c r="BD141" s="668"/>
      <c r="BE141" s="668"/>
      <c r="BF141" s="182"/>
      <c r="BG141" s="182">
        <v>31861</v>
      </c>
      <c r="BH141" s="182">
        <f>31861+63722</f>
        <v>95583</v>
      </c>
      <c r="BI141" s="179">
        <f>63722*2</f>
        <v>127444</v>
      </c>
      <c r="BJ141" s="181">
        <f t="shared" si="41"/>
        <v>127444</v>
      </c>
    </row>
    <row r="142" spans="1:62" ht="120" customHeight="1" thickBot="1" x14ac:dyDescent="0.25">
      <c r="A142" s="42">
        <v>140</v>
      </c>
      <c r="B142" s="16" t="s">
        <v>301</v>
      </c>
      <c r="C142" s="16" t="s">
        <v>787</v>
      </c>
      <c r="D142" s="16" t="s">
        <v>759</v>
      </c>
      <c r="E142" s="16" t="s">
        <v>1228</v>
      </c>
      <c r="F142" s="16" t="s">
        <v>760</v>
      </c>
      <c r="G142" s="3" t="s">
        <v>845</v>
      </c>
      <c r="H142" s="636" t="s">
        <v>1474</v>
      </c>
      <c r="I142" s="600" t="s">
        <v>788</v>
      </c>
      <c r="J142" s="600" t="s">
        <v>1003</v>
      </c>
      <c r="K142" s="600" t="s">
        <v>789</v>
      </c>
      <c r="L142" s="600" t="s">
        <v>10</v>
      </c>
      <c r="M142" s="654" t="s">
        <v>35</v>
      </c>
      <c r="N142" s="654" t="s">
        <v>35</v>
      </c>
      <c r="O142" s="654" t="s">
        <v>35</v>
      </c>
      <c r="P142" s="600" t="s">
        <v>111</v>
      </c>
      <c r="Q142" s="659" t="s">
        <v>846</v>
      </c>
      <c r="R142" s="600">
        <v>18252</v>
      </c>
      <c r="S142" s="600">
        <v>4539</v>
      </c>
      <c r="T142" s="600">
        <v>18252</v>
      </c>
      <c r="U142" s="600">
        <v>4539</v>
      </c>
      <c r="V142" s="600">
        <v>18252</v>
      </c>
      <c r="W142" s="600">
        <v>4539</v>
      </c>
      <c r="X142" s="6">
        <f t="shared" si="29"/>
        <v>36504</v>
      </c>
      <c r="Y142" s="6">
        <f t="shared" si="30"/>
        <v>9078</v>
      </c>
      <c r="Z142" s="12">
        <f t="shared" si="31"/>
        <v>13617</v>
      </c>
      <c r="AA142" s="816">
        <v>0.6</v>
      </c>
      <c r="AB142" s="816">
        <v>0.62</v>
      </c>
      <c r="AC142" s="836">
        <f t="shared" si="32"/>
        <v>10951.199999999999</v>
      </c>
      <c r="AD142" s="836">
        <f t="shared" si="33"/>
        <v>11316.24</v>
      </c>
      <c r="AE142" s="816">
        <v>0.6</v>
      </c>
      <c r="AF142" s="816">
        <v>0.58499999999999996</v>
      </c>
      <c r="AG142" s="836">
        <f t="shared" si="34"/>
        <v>10951.199999999999</v>
      </c>
      <c r="AH142" s="836">
        <f t="shared" si="42"/>
        <v>10677.42</v>
      </c>
      <c r="AI142" s="794">
        <f t="shared" si="36"/>
        <v>21902.399999999998</v>
      </c>
      <c r="AJ142" s="794">
        <f t="shared" si="37"/>
        <v>21993.66</v>
      </c>
      <c r="AK142" s="656">
        <v>3920233</v>
      </c>
      <c r="AL142" s="238">
        <v>966370</v>
      </c>
      <c r="AM142" s="238">
        <f t="shared" si="40"/>
        <v>4886603</v>
      </c>
      <c r="AN142" s="647">
        <v>65169</v>
      </c>
      <c r="AO142" s="647">
        <v>130338</v>
      </c>
      <c r="AP142" s="652">
        <v>65169</v>
      </c>
      <c r="AQ142" s="638">
        <v>958750</v>
      </c>
      <c r="AR142" s="638">
        <v>1045945</v>
      </c>
      <c r="AS142" s="638">
        <v>1048985</v>
      </c>
      <c r="AT142" s="638">
        <v>866553</v>
      </c>
      <c r="AU142" s="638">
        <v>112794</v>
      </c>
      <c r="AV142" s="638">
        <v>130338.96</v>
      </c>
      <c r="AW142" s="786">
        <v>209148.75</v>
      </c>
      <c r="AX142" s="720">
        <v>209149</v>
      </c>
      <c r="AY142" s="720">
        <v>0</v>
      </c>
      <c r="AZ142" s="640">
        <v>514088.01</v>
      </c>
      <c r="BA142" s="668"/>
      <c r="BB142" s="668"/>
      <c r="BC142" s="668"/>
      <c r="BD142" s="668"/>
      <c r="BE142" s="668"/>
      <c r="BF142" s="184"/>
      <c r="BG142" s="184">
        <v>65169</v>
      </c>
      <c r="BH142" s="184">
        <v>65169</v>
      </c>
      <c r="BI142" s="181">
        <v>130338</v>
      </c>
      <c r="BJ142" s="181">
        <f>BG142+BH142</f>
        <v>130338</v>
      </c>
    </row>
    <row r="143" spans="1:62" ht="75" customHeight="1" thickBot="1" x14ac:dyDescent="0.25">
      <c r="A143" s="42">
        <v>141</v>
      </c>
      <c r="B143" s="16" t="s">
        <v>301</v>
      </c>
      <c r="C143" s="16" t="s">
        <v>790</v>
      </c>
      <c r="D143" s="16" t="s">
        <v>759</v>
      </c>
      <c r="E143" s="16" t="s">
        <v>1228</v>
      </c>
      <c r="F143" s="16" t="s">
        <v>760</v>
      </c>
      <c r="G143" s="12" t="s">
        <v>847</v>
      </c>
      <c r="H143" s="636" t="s">
        <v>1475</v>
      </c>
      <c r="I143" s="600" t="s">
        <v>791</v>
      </c>
      <c r="J143" s="600" t="s">
        <v>1003</v>
      </c>
      <c r="K143" s="600" t="s">
        <v>789</v>
      </c>
      <c r="L143" s="600" t="s">
        <v>10</v>
      </c>
      <c r="M143" s="654" t="s">
        <v>35</v>
      </c>
      <c r="N143" s="654" t="s">
        <v>35</v>
      </c>
      <c r="O143" s="654" t="s">
        <v>35</v>
      </c>
      <c r="P143" s="600" t="s">
        <v>111</v>
      </c>
      <c r="Q143" s="600" t="s">
        <v>846</v>
      </c>
      <c r="R143" s="600">
        <v>4099</v>
      </c>
      <c r="S143" s="600">
        <v>1207</v>
      </c>
      <c r="T143" s="600">
        <v>4099</v>
      </c>
      <c r="U143" s="600">
        <v>1207</v>
      </c>
      <c r="V143" s="600">
        <v>4099</v>
      </c>
      <c r="W143" s="600">
        <v>1207</v>
      </c>
      <c r="X143" s="6">
        <f t="shared" si="29"/>
        <v>8198</v>
      </c>
      <c r="Y143" s="6">
        <f t="shared" si="30"/>
        <v>2414</v>
      </c>
      <c r="Z143" s="12">
        <f t="shared" si="31"/>
        <v>3621</v>
      </c>
      <c r="AA143" s="816">
        <v>0.53</v>
      </c>
      <c r="AB143" s="816">
        <v>0.56000000000000005</v>
      </c>
      <c r="AC143" s="836">
        <f t="shared" si="32"/>
        <v>2172.4700000000003</v>
      </c>
      <c r="AD143" s="836">
        <f t="shared" si="33"/>
        <v>2295.44</v>
      </c>
      <c r="AE143" s="816">
        <v>0.53</v>
      </c>
      <c r="AF143" s="816">
        <v>0.64049999999999996</v>
      </c>
      <c r="AG143" s="836">
        <f t="shared" si="34"/>
        <v>2172.4700000000003</v>
      </c>
      <c r="AH143" s="836">
        <f t="shared" si="42"/>
        <v>2625.4094999999998</v>
      </c>
      <c r="AI143" s="794">
        <f t="shared" si="36"/>
        <v>4344.9400000000005</v>
      </c>
      <c r="AJ143" s="794">
        <f t="shared" si="37"/>
        <v>4920.8495000000003</v>
      </c>
      <c r="AK143" s="656">
        <v>5627436</v>
      </c>
      <c r="AL143" s="238">
        <v>1394857</v>
      </c>
      <c r="AM143" s="238">
        <f t="shared" si="40"/>
        <v>7022293</v>
      </c>
      <c r="AN143" s="647">
        <v>94134</v>
      </c>
      <c r="AO143" s="647">
        <v>188268</v>
      </c>
      <c r="AP143" s="652">
        <v>94134</v>
      </c>
      <c r="AQ143" s="638">
        <v>1376271</v>
      </c>
      <c r="AR143" s="638">
        <v>1501438</v>
      </c>
      <c r="AS143" s="638">
        <v>1505803</v>
      </c>
      <c r="AT143" s="638">
        <v>1243924</v>
      </c>
      <c r="AU143" s="638">
        <v>161914</v>
      </c>
      <c r="AV143" s="638">
        <v>188267.38</v>
      </c>
      <c r="AW143" s="786">
        <v>302103.75</v>
      </c>
      <c r="AX143" s="720">
        <v>302104</v>
      </c>
      <c r="AY143" s="720">
        <v>0</v>
      </c>
      <c r="AZ143" s="640">
        <v>742571.57</v>
      </c>
      <c r="BA143" s="668"/>
      <c r="BB143" s="668"/>
      <c r="BC143" s="668"/>
      <c r="BD143" s="668"/>
      <c r="BE143" s="668"/>
      <c r="BF143" s="184"/>
      <c r="BG143" s="184">
        <v>94134</v>
      </c>
      <c r="BH143" s="184">
        <v>94134</v>
      </c>
      <c r="BI143" s="181">
        <v>188268</v>
      </c>
      <c r="BJ143" s="181">
        <f t="shared" si="41"/>
        <v>188268</v>
      </c>
    </row>
    <row r="144" spans="1:62" ht="180.75" thickBot="1" x14ac:dyDescent="0.25">
      <c r="A144" s="42">
        <v>142</v>
      </c>
      <c r="B144" s="16" t="s">
        <v>301</v>
      </c>
      <c r="C144" s="16" t="s">
        <v>792</v>
      </c>
      <c r="D144" s="16" t="s">
        <v>759</v>
      </c>
      <c r="E144" s="16" t="s">
        <v>1228</v>
      </c>
      <c r="F144" s="16" t="s">
        <v>760</v>
      </c>
      <c r="G144" s="12" t="s">
        <v>848</v>
      </c>
      <c r="H144" s="636" t="s">
        <v>1476</v>
      </c>
      <c r="I144" s="600" t="s">
        <v>793</v>
      </c>
      <c r="J144" s="600" t="s">
        <v>1003</v>
      </c>
      <c r="K144" s="600" t="s">
        <v>789</v>
      </c>
      <c r="L144" s="600" t="s">
        <v>10</v>
      </c>
      <c r="M144" s="654" t="s">
        <v>35</v>
      </c>
      <c r="N144" s="654" t="s">
        <v>35</v>
      </c>
      <c r="O144" s="654" t="s">
        <v>35</v>
      </c>
      <c r="P144" s="600" t="s">
        <v>111</v>
      </c>
      <c r="Q144" s="600" t="s">
        <v>846</v>
      </c>
      <c r="R144" s="600">
        <v>5449</v>
      </c>
      <c r="S144" s="600">
        <v>1257</v>
      </c>
      <c r="T144" s="600">
        <v>5449</v>
      </c>
      <c r="U144" s="600">
        <v>1257</v>
      </c>
      <c r="V144" s="600">
        <v>5449</v>
      </c>
      <c r="W144" s="600">
        <v>1257</v>
      </c>
      <c r="X144" s="6">
        <f t="shared" si="29"/>
        <v>10898</v>
      </c>
      <c r="Y144" s="6">
        <f t="shared" si="30"/>
        <v>2514</v>
      </c>
      <c r="Z144" s="12">
        <f t="shared" si="31"/>
        <v>3771</v>
      </c>
      <c r="AA144" s="816">
        <v>0.45999999999999996</v>
      </c>
      <c r="AB144" s="816">
        <v>0.52</v>
      </c>
      <c r="AC144" s="836">
        <f t="shared" si="32"/>
        <v>2506.54</v>
      </c>
      <c r="AD144" s="836">
        <f t="shared" si="33"/>
        <v>2833.48</v>
      </c>
      <c r="AE144" s="816">
        <v>0.45999999999999996</v>
      </c>
      <c r="AF144" s="816">
        <v>0.54649999999999999</v>
      </c>
      <c r="AG144" s="836">
        <f t="shared" si="34"/>
        <v>2506.54</v>
      </c>
      <c r="AH144" s="836">
        <f t="shared" si="42"/>
        <v>2977.8784999999998</v>
      </c>
      <c r="AI144" s="794">
        <f t="shared" si="36"/>
        <v>5013.08</v>
      </c>
      <c r="AJ144" s="794">
        <f t="shared" si="37"/>
        <v>5811.3585000000003</v>
      </c>
      <c r="AK144" s="656">
        <v>2682008</v>
      </c>
      <c r="AL144" s="238">
        <v>665187</v>
      </c>
      <c r="AM144" s="238">
        <f t="shared" si="40"/>
        <v>3347195</v>
      </c>
      <c r="AN144" s="647">
        <v>44895</v>
      </c>
      <c r="AO144" s="647">
        <v>89790</v>
      </c>
      <c r="AP144" s="652">
        <v>44895</v>
      </c>
      <c r="AQ144" s="638">
        <v>655924</v>
      </c>
      <c r="AR144" s="638">
        <v>715578</v>
      </c>
      <c r="AS144" s="638">
        <v>717658</v>
      </c>
      <c r="AT144" s="638">
        <v>592848</v>
      </c>
      <c r="AU144" s="638">
        <v>77168</v>
      </c>
      <c r="AV144" s="638">
        <v>89789.06</v>
      </c>
      <c r="AW144" s="786">
        <v>144080.25</v>
      </c>
      <c r="AX144" s="720">
        <v>144080</v>
      </c>
      <c r="AY144" s="720">
        <v>0</v>
      </c>
      <c r="AZ144" s="640">
        <v>354149.52</v>
      </c>
      <c r="BA144" s="668"/>
      <c r="BB144" s="668"/>
      <c r="BC144" s="668"/>
      <c r="BD144" s="668"/>
      <c r="BE144" s="668"/>
      <c r="BF144" s="184"/>
      <c r="BG144" s="184">
        <v>44895</v>
      </c>
      <c r="BH144" s="184">
        <v>44895</v>
      </c>
      <c r="BI144" s="181">
        <v>89790</v>
      </c>
      <c r="BJ144" s="181">
        <f t="shared" si="41"/>
        <v>89790</v>
      </c>
    </row>
    <row r="145" spans="1:62" ht="165.75" thickBot="1" x14ac:dyDescent="0.25">
      <c r="A145" s="42">
        <v>143</v>
      </c>
      <c r="B145" s="16" t="s">
        <v>301</v>
      </c>
      <c r="C145" s="16" t="s">
        <v>794</v>
      </c>
      <c r="D145" s="16" t="s">
        <v>759</v>
      </c>
      <c r="E145" s="16" t="s">
        <v>1228</v>
      </c>
      <c r="F145" s="16" t="s">
        <v>760</v>
      </c>
      <c r="G145" s="12" t="s">
        <v>849</v>
      </c>
      <c r="H145" s="607" t="s">
        <v>1477</v>
      </c>
      <c r="I145" s="600" t="s">
        <v>795</v>
      </c>
      <c r="J145" s="600" t="s">
        <v>1003</v>
      </c>
      <c r="K145" s="600" t="s">
        <v>789</v>
      </c>
      <c r="L145" s="600" t="s">
        <v>10</v>
      </c>
      <c r="M145" s="654" t="s">
        <v>35</v>
      </c>
      <c r="N145" s="654" t="s">
        <v>35</v>
      </c>
      <c r="O145" s="654" t="s">
        <v>35</v>
      </c>
      <c r="P145" s="600" t="s">
        <v>111</v>
      </c>
      <c r="Q145" s="600" t="s">
        <v>846</v>
      </c>
      <c r="R145" s="600">
        <v>21467</v>
      </c>
      <c r="S145" s="600">
        <v>12155</v>
      </c>
      <c r="T145" s="600">
        <v>21467</v>
      </c>
      <c r="U145" s="600">
        <v>12155</v>
      </c>
      <c r="V145" s="600">
        <v>21467</v>
      </c>
      <c r="W145" s="600">
        <v>12155</v>
      </c>
      <c r="X145" s="6">
        <f t="shared" si="29"/>
        <v>42934</v>
      </c>
      <c r="Y145" s="6">
        <f t="shared" si="30"/>
        <v>24310</v>
      </c>
      <c r="Z145" s="12">
        <f t="shared" si="31"/>
        <v>36465</v>
      </c>
      <c r="AA145" s="816">
        <v>0.5</v>
      </c>
      <c r="AB145" s="816">
        <v>0.55999999999999994</v>
      </c>
      <c r="AC145" s="836">
        <f t="shared" si="32"/>
        <v>10733.5</v>
      </c>
      <c r="AD145" s="836">
        <f t="shared" si="33"/>
        <v>12021.519999999999</v>
      </c>
      <c r="AE145" s="816">
        <v>0.5</v>
      </c>
      <c r="AF145" s="816">
        <v>0.56000000000000005</v>
      </c>
      <c r="AG145" s="836">
        <f t="shared" si="34"/>
        <v>10733.5</v>
      </c>
      <c r="AH145" s="836">
        <f t="shared" si="42"/>
        <v>12021.52</v>
      </c>
      <c r="AI145" s="794">
        <f t="shared" si="36"/>
        <v>21467</v>
      </c>
      <c r="AJ145" s="794">
        <f t="shared" si="37"/>
        <v>24043.040000000001</v>
      </c>
      <c r="AK145" s="656">
        <v>7272807</v>
      </c>
      <c r="AL145" s="238">
        <v>1802597</v>
      </c>
      <c r="AM145" s="238">
        <f t="shared" si="40"/>
        <v>9075404</v>
      </c>
      <c r="AN145" s="647">
        <v>121650</v>
      </c>
      <c r="AO145" s="647">
        <v>243300</v>
      </c>
      <c r="AP145" s="652">
        <v>121650</v>
      </c>
      <c r="AQ145" s="638">
        <v>1778671</v>
      </c>
      <c r="AR145" s="638">
        <v>1940434</v>
      </c>
      <c r="AS145" s="638">
        <v>1946075</v>
      </c>
      <c r="AT145" s="638">
        <v>1607627</v>
      </c>
      <c r="AU145" s="638">
        <v>209256</v>
      </c>
      <c r="AV145" s="638">
        <v>243299.39</v>
      </c>
      <c r="AW145" s="786">
        <v>390411</v>
      </c>
      <c r="AX145" s="720">
        <v>390411</v>
      </c>
      <c r="AY145" s="720">
        <v>0</v>
      </c>
      <c r="AZ145" s="640">
        <v>959630.95</v>
      </c>
      <c r="BA145" s="668"/>
      <c r="BB145" s="668"/>
      <c r="BC145" s="668"/>
      <c r="BD145" s="668"/>
      <c r="BE145" s="668"/>
      <c r="BF145" s="184"/>
      <c r="BG145" s="184">
        <v>121650</v>
      </c>
      <c r="BH145" s="184">
        <v>121650</v>
      </c>
      <c r="BI145" s="181">
        <v>243300</v>
      </c>
      <c r="BJ145" s="181">
        <f t="shared" si="41"/>
        <v>243300</v>
      </c>
    </row>
    <row r="146" spans="1:62" ht="48.95" customHeight="1" thickBot="1" x14ac:dyDescent="0.25">
      <c r="A146" s="42">
        <v>144</v>
      </c>
      <c r="B146" s="16" t="s">
        <v>301</v>
      </c>
      <c r="C146" s="16" t="s">
        <v>796</v>
      </c>
      <c r="D146" s="16" t="s">
        <v>759</v>
      </c>
      <c r="E146" s="16" t="s">
        <v>1228</v>
      </c>
      <c r="F146" s="16" t="s">
        <v>760</v>
      </c>
      <c r="G146" s="12" t="s">
        <v>850</v>
      </c>
      <c r="H146" s="636" t="s">
        <v>1478</v>
      </c>
      <c r="I146" s="600" t="s">
        <v>797</v>
      </c>
      <c r="J146" s="600" t="s">
        <v>995</v>
      </c>
      <c r="K146" s="600" t="s">
        <v>798</v>
      </c>
      <c r="L146" s="600" t="s">
        <v>45</v>
      </c>
      <c r="M146" s="611">
        <v>2074</v>
      </c>
      <c r="N146" s="612">
        <v>275</v>
      </c>
      <c r="O146" s="633">
        <v>0.13259399999999999</v>
      </c>
      <c r="P146" s="600" t="s">
        <v>111</v>
      </c>
      <c r="Q146" s="600" t="s">
        <v>819</v>
      </c>
      <c r="R146" s="600">
        <v>4000</v>
      </c>
      <c r="S146" s="600">
        <v>8654</v>
      </c>
      <c r="T146" s="600">
        <v>4000</v>
      </c>
      <c r="U146" s="600">
        <v>8654</v>
      </c>
      <c r="V146" s="600">
        <v>4000</v>
      </c>
      <c r="W146" s="600">
        <v>8654</v>
      </c>
      <c r="X146" s="6">
        <f t="shared" si="29"/>
        <v>8000</v>
      </c>
      <c r="Y146" s="6">
        <f t="shared" si="30"/>
        <v>17308</v>
      </c>
      <c r="Z146" s="12">
        <f t="shared" si="31"/>
        <v>25962</v>
      </c>
      <c r="AA146" s="816">
        <v>0.5</v>
      </c>
      <c r="AB146" s="816">
        <v>0.48</v>
      </c>
      <c r="AC146" s="836">
        <f t="shared" si="32"/>
        <v>2000</v>
      </c>
      <c r="AD146" s="836">
        <f t="shared" si="33"/>
        <v>1920</v>
      </c>
      <c r="AE146" s="816">
        <v>0.5</v>
      </c>
      <c r="AF146" s="816">
        <v>0.56000000000000005</v>
      </c>
      <c r="AG146" s="836">
        <f t="shared" si="34"/>
        <v>2000</v>
      </c>
      <c r="AH146" s="836">
        <f t="shared" si="42"/>
        <v>2240</v>
      </c>
      <c r="AI146" s="794">
        <f t="shared" si="36"/>
        <v>4000</v>
      </c>
      <c r="AJ146" s="794">
        <f t="shared" si="37"/>
        <v>4160</v>
      </c>
      <c r="AK146" s="656">
        <v>5384294</v>
      </c>
      <c r="AL146" s="238">
        <v>1330955</v>
      </c>
      <c r="AM146" s="238">
        <f t="shared" si="40"/>
        <v>6715249</v>
      </c>
      <c r="AN146" s="647">
        <v>119718.66666666667</v>
      </c>
      <c r="AO146" s="647">
        <v>119718.67</v>
      </c>
      <c r="AP146" s="652">
        <v>0</v>
      </c>
      <c r="AQ146" s="638">
        <v>1316807</v>
      </c>
      <c r="AR146" s="638">
        <v>1436566</v>
      </c>
      <c r="AS146" s="638">
        <v>1440743</v>
      </c>
      <c r="AT146" s="638">
        <v>1190178</v>
      </c>
      <c r="AU146" s="638">
        <v>154918</v>
      </c>
      <c r="AV146" s="638">
        <v>179578.11000000002</v>
      </c>
      <c r="AW146" s="786">
        <v>288160</v>
      </c>
      <c r="AX146" s="720">
        <v>288160</v>
      </c>
      <c r="AY146" s="720">
        <v>0</v>
      </c>
      <c r="AZ146" s="640">
        <v>708299.04</v>
      </c>
      <c r="BA146" s="668"/>
      <c r="BB146" s="668"/>
      <c r="BC146" s="668"/>
      <c r="BD146" s="668"/>
      <c r="BE146" s="668"/>
      <c r="BF146" s="184"/>
      <c r="BG146" s="184">
        <v>0</v>
      </c>
      <c r="BH146" s="184">
        <v>119718.67</v>
      </c>
      <c r="BI146" s="181">
        <v>119718.67</v>
      </c>
      <c r="BJ146" s="181">
        <f t="shared" si="41"/>
        <v>119718.67</v>
      </c>
    </row>
    <row r="147" spans="1:62" ht="107.1" customHeight="1" thickBot="1" x14ac:dyDescent="0.25">
      <c r="A147" s="42">
        <v>145</v>
      </c>
      <c r="B147" s="16" t="s">
        <v>301</v>
      </c>
      <c r="C147" s="16" t="s">
        <v>799</v>
      </c>
      <c r="D147" s="16" t="s">
        <v>759</v>
      </c>
      <c r="E147" s="16" t="s">
        <v>1228</v>
      </c>
      <c r="F147" s="16" t="s">
        <v>760</v>
      </c>
      <c r="G147" s="12" t="s">
        <v>851</v>
      </c>
      <c r="H147" s="636" t="s">
        <v>1479</v>
      </c>
      <c r="I147" s="600" t="s">
        <v>800</v>
      </c>
      <c r="J147" s="600" t="s">
        <v>1002</v>
      </c>
      <c r="K147" s="600" t="s">
        <v>784</v>
      </c>
      <c r="L147" s="600" t="s">
        <v>63</v>
      </c>
      <c r="M147" s="731" t="s">
        <v>838</v>
      </c>
      <c r="N147" s="733" t="s">
        <v>852</v>
      </c>
      <c r="O147" s="658" t="s">
        <v>853</v>
      </c>
      <c r="P147" s="600" t="s">
        <v>111</v>
      </c>
      <c r="Q147" s="600" t="s">
        <v>819</v>
      </c>
      <c r="R147" s="600">
        <v>2991</v>
      </c>
      <c r="S147" s="600">
        <v>1456</v>
      </c>
      <c r="T147" s="600">
        <v>2991</v>
      </c>
      <c r="U147" s="600">
        <v>1456</v>
      </c>
      <c r="V147" s="600">
        <v>2991</v>
      </c>
      <c r="W147" s="600">
        <v>1456</v>
      </c>
      <c r="X147" s="6">
        <f t="shared" si="29"/>
        <v>5982</v>
      </c>
      <c r="Y147" s="6">
        <f t="shared" si="30"/>
        <v>2912</v>
      </c>
      <c r="Z147" s="12">
        <f t="shared" si="31"/>
        <v>4368</v>
      </c>
      <c r="AA147" s="816">
        <v>0.36</v>
      </c>
      <c r="AB147" s="816">
        <v>0.41549999999999998</v>
      </c>
      <c r="AC147" s="836">
        <f t="shared" si="32"/>
        <v>1076.76</v>
      </c>
      <c r="AD147" s="836">
        <f t="shared" si="33"/>
        <v>1242.7604999999999</v>
      </c>
      <c r="AE147" s="816">
        <v>0.36</v>
      </c>
      <c r="AF147" s="816">
        <v>0.43</v>
      </c>
      <c r="AG147" s="836">
        <f t="shared" si="34"/>
        <v>1076.76</v>
      </c>
      <c r="AH147" s="836">
        <f t="shared" si="42"/>
        <v>1286.1299999999999</v>
      </c>
      <c r="AI147" s="794">
        <f t="shared" si="36"/>
        <v>2153.52</v>
      </c>
      <c r="AJ147" s="794">
        <f t="shared" si="37"/>
        <v>2528.8904999999995</v>
      </c>
      <c r="AK147" s="656">
        <v>4115596</v>
      </c>
      <c r="AL147" s="238">
        <v>1009928</v>
      </c>
      <c r="AM147" s="238">
        <f t="shared" si="40"/>
        <v>5125524</v>
      </c>
      <c r="AN147" s="224">
        <v>102099</v>
      </c>
      <c r="AO147" s="224">
        <v>136132</v>
      </c>
      <c r="AP147" s="597">
        <v>34033</v>
      </c>
      <c r="AQ147" s="638">
        <v>1006529</v>
      </c>
      <c r="AR147" s="638">
        <v>1098069</v>
      </c>
      <c r="AS147" s="638">
        <v>1101261</v>
      </c>
      <c r="AT147" s="638">
        <v>909737</v>
      </c>
      <c r="AU147" s="638">
        <v>118416</v>
      </c>
      <c r="AV147" s="638">
        <v>136131.81</v>
      </c>
      <c r="AW147" s="786">
        <v>218444.25</v>
      </c>
      <c r="AX147" s="720">
        <v>218444</v>
      </c>
      <c r="AY147" s="720">
        <v>0</v>
      </c>
      <c r="AZ147" s="640">
        <v>536936.37</v>
      </c>
      <c r="BA147" s="668"/>
      <c r="BB147" s="668"/>
      <c r="BC147" s="668"/>
      <c r="BD147" s="668"/>
      <c r="BE147" s="668"/>
      <c r="BF147" s="182"/>
      <c r="BG147" s="183">
        <v>34033.019999999997</v>
      </c>
      <c r="BH147" s="182">
        <f>68066+34033</f>
        <v>102099</v>
      </c>
      <c r="BI147" s="179">
        <f>68066*2</f>
        <v>136132</v>
      </c>
      <c r="BJ147" s="181">
        <f t="shared" si="41"/>
        <v>136132.01999999999</v>
      </c>
    </row>
    <row r="148" spans="1:62" ht="75.599999999999994" customHeight="1" thickBot="1" x14ac:dyDescent="0.25">
      <c r="A148" s="42">
        <v>146</v>
      </c>
      <c r="B148" s="16" t="s">
        <v>301</v>
      </c>
      <c r="C148" s="16" t="s">
        <v>801</v>
      </c>
      <c r="D148" s="16" t="s">
        <v>759</v>
      </c>
      <c r="E148" s="16" t="s">
        <v>1228</v>
      </c>
      <c r="F148" s="16" t="s">
        <v>760</v>
      </c>
      <c r="G148" s="12" t="s">
        <v>854</v>
      </c>
      <c r="H148" s="636" t="s">
        <v>1480</v>
      </c>
      <c r="I148" s="600" t="s">
        <v>802</v>
      </c>
      <c r="J148" s="600" t="s">
        <v>1003</v>
      </c>
      <c r="K148" s="600" t="s">
        <v>789</v>
      </c>
      <c r="L148" s="600" t="s">
        <v>10</v>
      </c>
      <c r="M148" s="654" t="s">
        <v>34</v>
      </c>
      <c r="N148" s="654" t="s">
        <v>34</v>
      </c>
      <c r="O148" s="654" t="s">
        <v>34</v>
      </c>
      <c r="P148" s="600" t="s">
        <v>111</v>
      </c>
      <c r="Q148" s="659" t="s">
        <v>819</v>
      </c>
      <c r="R148" s="600">
        <v>23950</v>
      </c>
      <c r="S148" s="600">
        <v>5107</v>
      </c>
      <c r="T148" s="600">
        <v>23950</v>
      </c>
      <c r="U148" s="600">
        <v>5107</v>
      </c>
      <c r="V148" s="600">
        <v>23950</v>
      </c>
      <c r="W148" s="209">
        <v>5107</v>
      </c>
      <c r="X148" s="6">
        <f t="shared" si="29"/>
        <v>47900</v>
      </c>
      <c r="Y148" s="6">
        <f t="shared" si="30"/>
        <v>10214</v>
      </c>
      <c r="Z148" s="12">
        <f t="shared" si="31"/>
        <v>15321</v>
      </c>
      <c r="AA148" s="816">
        <v>0.41000000000000003</v>
      </c>
      <c r="AB148" s="816">
        <v>0.49</v>
      </c>
      <c r="AC148" s="836">
        <f t="shared" si="32"/>
        <v>9819.5</v>
      </c>
      <c r="AD148" s="836">
        <f t="shared" si="33"/>
        <v>11735.5</v>
      </c>
      <c r="AE148" s="816">
        <v>0.41000000000000003</v>
      </c>
      <c r="AF148" s="816">
        <v>0.47400000000000003</v>
      </c>
      <c r="AG148" s="836">
        <f t="shared" si="34"/>
        <v>9819.5</v>
      </c>
      <c r="AH148" s="836">
        <f t="shared" si="42"/>
        <v>11352.300000000001</v>
      </c>
      <c r="AI148" s="794">
        <f t="shared" si="36"/>
        <v>19639</v>
      </c>
      <c r="AJ148" s="794">
        <f t="shared" si="37"/>
        <v>23087.800000000003</v>
      </c>
      <c r="AK148" s="656">
        <v>4473330</v>
      </c>
      <c r="AL148" s="625">
        <v>1115062</v>
      </c>
      <c r="AM148" s="238">
        <f t="shared" si="40"/>
        <v>5588392</v>
      </c>
      <c r="AN148" s="647">
        <v>75307</v>
      </c>
      <c r="AO148" s="647">
        <v>150614</v>
      </c>
      <c r="AP148" s="652">
        <v>75307</v>
      </c>
      <c r="AQ148" s="638">
        <v>1094018</v>
      </c>
      <c r="AR148" s="638">
        <v>1193515</v>
      </c>
      <c r="AS148" s="638">
        <v>1196984</v>
      </c>
      <c r="AT148" s="638">
        <v>988813</v>
      </c>
      <c r="AU148" s="638">
        <v>128708</v>
      </c>
      <c r="AV148" s="638">
        <v>150613.91999999998</v>
      </c>
      <c r="AW148" s="786">
        <v>241683</v>
      </c>
      <c r="AX148" s="720">
        <v>241683</v>
      </c>
      <c r="AY148" s="720">
        <v>0</v>
      </c>
      <c r="AZ148" s="640">
        <v>594057.27</v>
      </c>
      <c r="BA148" s="668"/>
      <c r="BB148" s="668"/>
      <c r="BC148" s="668"/>
      <c r="BD148" s="668"/>
      <c r="BE148" s="668"/>
      <c r="BF148" s="184"/>
      <c r="BG148" s="184">
        <v>75307</v>
      </c>
      <c r="BH148" s="184">
        <v>75307</v>
      </c>
      <c r="BI148" s="181">
        <v>150614</v>
      </c>
      <c r="BJ148" s="181">
        <f t="shared" si="41"/>
        <v>150614</v>
      </c>
    </row>
    <row r="149" spans="1:62" ht="77.45" customHeight="1" thickBot="1" x14ac:dyDescent="0.25">
      <c r="A149" s="42">
        <v>147</v>
      </c>
      <c r="B149" s="16" t="s">
        <v>301</v>
      </c>
      <c r="C149" s="16" t="s">
        <v>803</v>
      </c>
      <c r="D149" s="16" t="s">
        <v>759</v>
      </c>
      <c r="E149" s="16" t="s">
        <v>1228</v>
      </c>
      <c r="F149" s="16" t="s">
        <v>760</v>
      </c>
      <c r="G149" s="12" t="s">
        <v>855</v>
      </c>
      <c r="H149" s="636" t="s">
        <v>1481</v>
      </c>
      <c r="I149" s="600" t="s">
        <v>804</v>
      </c>
      <c r="J149" s="600" t="s">
        <v>992</v>
      </c>
      <c r="K149" s="600" t="s">
        <v>805</v>
      </c>
      <c r="L149" s="600" t="s">
        <v>10</v>
      </c>
      <c r="M149" s="611">
        <v>820</v>
      </c>
      <c r="N149" s="612">
        <v>686</v>
      </c>
      <c r="O149" s="633">
        <v>0.83658500000000002</v>
      </c>
      <c r="P149" s="600" t="s">
        <v>111</v>
      </c>
      <c r="Q149" s="600" t="s">
        <v>819</v>
      </c>
      <c r="R149" s="600">
        <v>10718</v>
      </c>
      <c r="S149" s="600">
        <v>2391</v>
      </c>
      <c r="T149" s="600">
        <v>10718</v>
      </c>
      <c r="U149" s="600">
        <v>2391</v>
      </c>
      <c r="V149" s="600">
        <v>10718</v>
      </c>
      <c r="W149" s="600">
        <v>2391</v>
      </c>
      <c r="X149" s="6">
        <f t="shared" si="29"/>
        <v>21436</v>
      </c>
      <c r="Y149" s="6">
        <f t="shared" si="30"/>
        <v>4782</v>
      </c>
      <c r="Z149" s="12">
        <f t="shared" si="31"/>
        <v>7173</v>
      </c>
      <c r="AA149" s="816">
        <v>0.53</v>
      </c>
      <c r="AB149" s="816">
        <v>0.59000000000000008</v>
      </c>
      <c r="AC149" s="836">
        <f t="shared" si="32"/>
        <v>5680.54</v>
      </c>
      <c r="AD149" s="836">
        <f t="shared" si="33"/>
        <v>6323.6200000000008</v>
      </c>
      <c r="AE149" s="816">
        <v>0.53</v>
      </c>
      <c r="AF149" s="816">
        <v>0.58489999999999998</v>
      </c>
      <c r="AG149" s="836">
        <f t="shared" si="34"/>
        <v>5680.54</v>
      </c>
      <c r="AH149" s="836">
        <f t="shared" si="42"/>
        <v>6268.9582</v>
      </c>
      <c r="AI149" s="794">
        <f t="shared" si="36"/>
        <v>11361.08</v>
      </c>
      <c r="AJ149" s="794">
        <f t="shared" si="37"/>
        <v>12592.5782</v>
      </c>
      <c r="AK149" s="656">
        <v>4415709</v>
      </c>
      <c r="AL149" s="238">
        <v>1094435</v>
      </c>
      <c r="AM149" s="238">
        <f t="shared" si="40"/>
        <v>5510144</v>
      </c>
      <c r="AN149" s="647">
        <v>147718</v>
      </c>
      <c r="AO149" s="647">
        <v>147718</v>
      </c>
      <c r="AP149" s="652">
        <v>0</v>
      </c>
      <c r="AQ149" s="638">
        <v>1079926</v>
      </c>
      <c r="AR149" s="638">
        <v>1178141</v>
      </c>
      <c r="AS149" s="638">
        <v>1181566</v>
      </c>
      <c r="AT149" s="638">
        <v>976076</v>
      </c>
      <c r="AU149" s="638">
        <v>127050</v>
      </c>
      <c r="AV149" s="638">
        <v>147717.48000000001</v>
      </c>
      <c r="AW149" s="786">
        <v>237035.25</v>
      </c>
      <c r="AX149" s="720">
        <v>237036</v>
      </c>
      <c r="AY149" s="720">
        <v>0</v>
      </c>
      <c r="AZ149" s="640">
        <v>582633.07999999996</v>
      </c>
      <c r="BA149" s="668"/>
      <c r="BB149" s="668"/>
      <c r="BC149" s="668"/>
      <c r="BD149" s="668"/>
      <c r="BE149" s="668"/>
      <c r="BF149" s="184"/>
      <c r="BG149" s="184">
        <v>0</v>
      </c>
      <c r="BH149" s="184">
        <v>147718</v>
      </c>
      <c r="BI149" s="181">
        <v>147718</v>
      </c>
      <c r="BJ149" s="181">
        <f t="shared" si="41"/>
        <v>147718</v>
      </c>
    </row>
    <row r="150" spans="1:62" ht="240.75" thickBot="1" x14ac:dyDescent="0.25">
      <c r="A150" s="42">
        <v>148</v>
      </c>
      <c r="B150" s="16" t="s">
        <v>301</v>
      </c>
      <c r="C150" s="16" t="s">
        <v>806</v>
      </c>
      <c r="D150" s="16" t="s">
        <v>759</v>
      </c>
      <c r="E150" s="16" t="s">
        <v>1228</v>
      </c>
      <c r="F150" s="16" t="s">
        <v>760</v>
      </c>
      <c r="G150" s="12" t="s">
        <v>856</v>
      </c>
      <c r="H150" s="636" t="s">
        <v>1482</v>
      </c>
      <c r="I150" s="600" t="s">
        <v>807</v>
      </c>
      <c r="J150" s="600" t="s">
        <v>1003</v>
      </c>
      <c r="K150" s="600" t="s">
        <v>789</v>
      </c>
      <c r="L150" s="600" t="s">
        <v>10</v>
      </c>
      <c r="M150" s="654" t="s">
        <v>34</v>
      </c>
      <c r="N150" s="654" t="s">
        <v>34</v>
      </c>
      <c r="O150" s="654" t="s">
        <v>34</v>
      </c>
      <c r="P150" s="600" t="s">
        <v>111</v>
      </c>
      <c r="Q150" s="600" t="s">
        <v>819</v>
      </c>
      <c r="R150" s="600">
        <v>15333</v>
      </c>
      <c r="S150" s="600">
        <v>7125</v>
      </c>
      <c r="T150" s="600">
        <v>15333</v>
      </c>
      <c r="U150" s="600">
        <v>7125</v>
      </c>
      <c r="V150" s="600">
        <v>15333</v>
      </c>
      <c r="W150" s="600">
        <v>7125</v>
      </c>
      <c r="X150" s="6">
        <f t="shared" si="29"/>
        <v>30666</v>
      </c>
      <c r="Y150" s="6">
        <f t="shared" si="30"/>
        <v>14250</v>
      </c>
      <c r="Z150" s="12">
        <f t="shared" si="31"/>
        <v>21375</v>
      </c>
      <c r="AA150" s="816">
        <v>0.43000000000000005</v>
      </c>
      <c r="AB150" s="816">
        <v>0.41000000000000003</v>
      </c>
      <c r="AC150" s="836">
        <f t="shared" si="32"/>
        <v>6593.1900000000005</v>
      </c>
      <c r="AD150" s="836">
        <f t="shared" si="33"/>
        <v>6286.5300000000007</v>
      </c>
      <c r="AE150" s="816">
        <v>0.43000000000000005</v>
      </c>
      <c r="AF150" s="816">
        <v>0.45</v>
      </c>
      <c r="AG150" s="836">
        <f t="shared" si="34"/>
        <v>6593.1900000000005</v>
      </c>
      <c r="AH150" s="836">
        <f t="shared" si="42"/>
        <v>6899.85</v>
      </c>
      <c r="AI150" s="794">
        <f t="shared" si="36"/>
        <v>13186.380000000001</v>
      </c>
      <c r="AJ150" s="794">
        <f t="shared" si="37"/>
        <v>13186.380000000001</v>
      </c>
      <c r="AK150" s="656">
        <v>5027551</v>
      </c>
      <c r="AL150" s="238">
        <v>1244818</v>
      </c>
      <c r="AM150" s="238">
        <f t="shared" si="40"/>
        <v>6272369</v>
      </c>
      <c r="AN150" s="647">
        <v>27998</v>
      </c>
      <c r="AO150" s="647">
        <v>111994</v>
      </c>
      <c r="AP150" s="652">
        <v>83996</v>
      </c>
      <c r="AQ150" s="638">
        <v>1229560</v>
      </c>
      <c r="AR150" s="638">
        <v>1341385</v>
      </c>
      <c r="AS150" s="638">
        <v>1345284</v>
      </c>
      <c r="AT150" s="638">
        <v>1111322</v>
      </c>
      <c r="AU150" s="638">
        <v>144654</v>
      </c>
      <c r="AV150" s="638">
        <v>167992.44</v>
      </c>
      <c r="AW150" s="786">
        <v>269569.5</v>
      </c>
      <c r="AX150" s="720">
        <v>269570</v>
      </c>
      <c r="AY150" s="720">
        <v>0</v>
      </c>
      <c r="AZ150" s="640">
        <v>662602.32000000007</v>
      </c>
      <c r="BA150" s="668"/>
      <c r="BB150" s="668"/>
      <c r="BC150" s="668"/>
      <c r="BD150" s="668"/>
      <c r="BE150" s="668"/>
      <c r="BF150" s="184"/>
      <c r="BG150" s="184">
        <v>83996</v>
      </c>
      <c r="BH150" s="184">
        <v>27998</v>
      </c>
      <c r="BI150" s="181">
        <v>111994</v>
      </c>
      <c r="BJ150" s="181">
        <f t="shared" si="41"/>
        <v>111994</v>
      </c>
    </row>
    <row r="151" spans="1:62" ht="75.95" customHeight="1" thickBot="1" x14ac:dyDescent="0.25">
      <c r="A151" s="42">
        <v>149</v>
      </c>
      <c r="B151" s="16" t="s">
        <v>301</v>
      </c>
      <c r="C151" s="16" t="s">
        <v>808</v>
      </c>
      <c r="D151" s="16" t="s">
        <v>759</v>
      </c>
      <c r="E151" s="16" t="s">
        <v>1228</v>
      </c>
      <c r="F151" s="16" t="s">
        <v>760</v>
      </c>
      <c r="G151" s="12" t="s">
        <v>857</v>
      </c>
      <c r="H151" s="636" t="s">
        <v>1483</v>
      </c>
      <c r="I151" s="600" t="s">
        <v>809</v>
      </c>
      <c r="J151" s="600" t="s">
        <v>1003</v>
      </c>
      <c r="K151" s="600" t="s">
        <v>789</v>
      </c>
      <c r="L151" s="600" t="s">
        <v>10</v>
      </c>
      <c r="M151" s="157" t="s">
        <v>34</v>
      </c>
      <c r="N151" s="157" t="s">
        <v>34</v>
      </c>
      <c r="O151" s="157" t="s">
        <v>34</v>
      </c>
      <c r="P151" s="600" t="s">
        <v>111</v>
      </c>
      <c r="Q151" s="659" t="s">
        <v>819</v>
      </c>
      <c r="R151" s="600">
        <v>21222</v>
      </c>
      <c r="S151" s="600">
        <v>4244</v>
      </c>
      <c r="T151" s="600">
        <v>21222</v>
      </c>
      <c r="U151" s="600">
        <v>4244</v>
      </c>
      <c r="V151" s="600">
        <v>21222</v>
      </c>
      <c r="W151" s="600">
        <v>4244</v>
      </c>
      <c r="X151" s="6">
        <f t="shared" si="29"/>
        <v>42444</v>
      </c>
      <c r="Y151" s="6">
        <f t="shared" si="30"/>
        <v>8488</v>
      </c>
      <c r="Z151" s="12">
        <f t="shared" si="31"/>
        <v>12732</v>
      </c>
      <c r="AA151" s="816">
        <v>0.43</v>
      </c>
      <c r="AB151" s="816">
        <v>0.4718</v>
      </c>
      <c r="AC151" s="836">
        <f t="shared" si="32"/>
        <v>9125.4599999999991</v>
      </c>
      <c r="AD151" s="836">
        <f t="shared" si="33"/>
        <v>10012.5396</v>
      </c>
      <c r="AE151" s="816">
        <v>0.43</v>
      </c>
      <c r="AF151" s="816">
        <v>0.45999999999999996</v>
      </c>
      <c r="AG151" s="836">
        <f t="shared" si="34"/>
        <v>9125.4599999999991</v>
      </c>
      <c r="AH151" s="836">
        <f t="shared" si="42"/>
        <v>9762.119999999999</v>
      </c>
      <c r="AI151" s="794">
        <f t="shared" si="36"/>
        <v>18250.919999999998</v>
      </c>
      <c r="AJ151" s="794">
        <f t="shared" si="37"/>
        <v>19774.659599999999</v>
      </c>
      <c r="AK151" s="656">
        <v>7843891</v>
      </c>
      <c r="AL151" s="238">
        <v>1978913</v>
      </c>
      <c r="AM151" s="238">
        <f t="shared" si="40"/>
        <v>9822804</v>
      </c>
      <c r="AN151" s="647">
        <v>43929</v>
      </c>
      <c r="AO151" s="647">
        <v>175716</v>
      </c>
      <c r="AP151" s="652">
        <v>131787</v>
      </c>
      <c r="AQ151" s="638">
        <v>2148745</v>
      </c>
      <c r="AR151" s="638">
        <v>2344166</v>
      </c>
      <c r="AS151" s="638">
        <v>2350980</v>
      </c>
      <c r="AT151" s="638">
        <v>1000000</v>
      </c>
      <c r="AU151" s="638">
        <v>252794</v>
      </c>
      <c r="AV151" s="638">
        <v>263574.33</v>
      </c>
      <c r="AW151" s="786">
        <v>422945.25</v>
      </c>
      <c r="AX151" s="720">
        <v>422945</v>
      </c>
      <c r="AY151" s="720">
        <v>0</v>
      </c>
      <c r="AZ151" s="640">
        <v>1039600.2000000001</v>
      </c>
      <c r="BA151" s="668"/>
      <c r="BB151" s="668"/>
      <c r="BC151" s="668"/>
      <c r="BD151" s="668"/>
      <c r="BE151" s="668"/>
      <c r="BF151" s="184"/>
      <c r="BG151" s="184">
        <v>131787</v>
      </c>
      <c r="BH151" s="184">
        <v>43929</v>
      </c>
      <c r="BI151" s="181">
        <v>175716</v>
      </c>
      <c r="BJ151" s="181">
        <f>BG151+BH151</f>
        <v>175716</v>
      </c>
    </row>
    <row r="152" spans="1:62" ht="75" customHeight="1" thickBot="1" x14ac:dyDescent="0.25">
      <c r="A152" s="42">
        <v>150</v>
      </c>
      <c r="B152" s="16" t="s">
        <v>301</v>
      </c>
      <c r="C152" s="16" t="s">
        <v>810</v>
      </c>
      <c r="D152" s="16" t="s">
        <v>759</v>
      </c>
      <c r="E152" s="16" t="s">
        <v>1228</v>
      </c>
      <c r="F152" s="16" t="s">
        <v>760</v>
      </c>
      <c r="G152" s="12" t="s">
        <v>858</v>
      </c>
      <c r="H152" s="636" t="s">
        <v>1484</v>
      </c>
      <c r="I152" s="600" t="s">
        <v>811</v>
      </c>
      <c r="J152" s="600" t="s">
        <v>1003</v>
      </c>
      <c r="K152" s="600" t="s">
        <v>812</v>
      </c>
      <c r="L152" s="600" t="s">
        <v>10</v>
      </c>
      <c r="M152" s="611">
        <v>1119</v>
      </c>
      <c r="N152" s="612">
        <v>369</v>
      </c>
      <c r="O152" s="633">
        <v>0.32975900000000002</v>
      </c>
      <c r="P152" s="600" t="s">
        <v>111</v>
      </c>
      <c r="Q152" s="600" t="s">
        <v>819</v>
      </c>
      <c r="R152" s="600">
        <v>16226</v>
      </c>
      <c r="S152" s="600">
        <v>5001</v>
      </c>
      <c r="T152" s="600">
        <v>16226</v>
      </c>
      <c r="U152" s="600">
        <v>5001</v>
      </c>
      <c r="V152" s="600">
        <v>16226</v>
      </c>
      <c r="W152" s="600">
        <v>5001</v>
      </c>
      <c r="X152" s="6">
        <f t="shared" si="29"/>
        <v>32452</v>
      </c>
      <c r="Y152" s="6">
        <f t="shared" si="30"/>
        <v>10002</v>
      </c>
      <c r="Z152" s="12">
        <f t="shared" si="31"/>
        <v>15003</v>
      </c>
      <c r="AA152" s="816">
        <v>0.36</v>
      </c>
      <c r="AB152" s="816">
        <v>0.49</v>
      </c>
      <c r="AC152" s="836">
        <f t="shared" si="32"/>
        <v>5841.36</v>
      </c>
      <c r="AD152" s="836">
        <f t="shared" si="33"/>
        <v>7950.74</v>
      </c>
      <c r="AE152" s="816">
        <v>0.36</v>
      </c>
      <c r="AF152" s="816">
        <v>0.41000000000000003</v>
      </c>
      <c r="AG152" s="836">
        <f t="shared" si="34"/>
        <v>5841.36</v>
      </c>
      <c r="AH152" s="836">
        <f t="shared" si="42"/>
        <v>6652.6600000000008</v>
      </c>
      <c r="AI152" s="794">
        <f t="shared" si="36"/>
        <v>11682.72</v>
      </c>
      <c r="AJ152" s="794">
        <f t="shared" si="37"/>
        <v>14603.400000000001</v>
      </c>
      <c r="AK152" s="656">
        <v>8786005</v>
      </c>
      <c r="AL152" s="238">
        <v>2149629</v>
      </c>
      <c r="AM152" s="238">
        <f t="shared" si="40"/>
        <v>10935634</v>
      </c>
      <c r="AN152" s="647">
        <v>289642</v>
      </c>
      <c r="AO152" s="647">
        <v>289642</v>
      </c>
      <c r="AP152" s="652">
        <v>0</v>
      </c>
      <c r="AQ152" s="638">
        <v>2148745</v>
      </c>
      <c r="AR152" s="638">
        <v>2344166</v>
      </c>
      <c r="AS152" s="638">
        <v>2350980</v>
      </c>
      <c r="AT152" s="638">
        <v>1942114</v>
      </c>
      <c r="AU152" s="638">
        <v>252794</v>
      </c>
      <c r="AV152" s="638">
        <v>289642.13</v>
      </c>
      <c r="AW152" s="786">
        <v>464775</v>
      </c>
      <c r="AX152" s="720" t="s">
        <v>1507</v>
      </c>
      <c r="AY152" s="720">
        <v>464775</v>
      </c>
      <c r="AZ152" s="640">
        <v>1142417.8</v>
      </c>
      <c r="BA152" s="668"/>
      <c r="BB152" s="668"/>
      <c r="BC152" s="668"/>
      <c r="BD152" s="668"/>
      <c r="BE152" s="668"/>
      <c r="BF152" s="184"/>
      <c r="BG152" s="184">
        <v>0</v>
      </c>
      <c r="BH152" s="184">
        <v>289642</v>
      </c>
      <c r="BI152" s="181">
        <v>289642</v>
      </c>
      <c r="BJ152" s="181">
        <f t="shared" si="41"/>
        <v>289642</v>
      </c>
    </row>
    <row r="153" spans="1:62" ht="75.599999999999994" customHeight="1" thickBot="1" x14ac:dyDescent="0.25">
      <c r="A153" s="42">
        <v>151</v>
      </c>
      <c r="B153" s="16" t="s">
        <v>301</v>
      </c>
      <c r="C153" s="16" t="s">
        <v>813</v>
      </c>
      <c r="D153" s="16" t="s">
        <v>759</v>
      </c>
      <c r="E153" s="16" t="s">
        <v>1228</v>
      </c>
      <c r="F153" s="16" t="s">
        <v>760</v>
      </c>
      <c r="G153" s="12" t="s">
        <v>859</v>
      </c>
      <c r="H153" s="636" t="s">
        <v>1485</v>
      </c>
      <c r="I153" s="600" t="s">
        <v>814</v>
      </c>
      <c r="J153" s="600" t="s">
        <v>1003</v>
      </c>
      <c r="K153" s="600" t="s">
        <v>789</v>
      </c>
      <c r="L153" s="600" t="s">
        <v>10</v>
      </c>
      <c r="M153" s="654" t="s">
        <v>34</v>
      </c>
      <c r="N153" s="654" t="s">
        <v>34</v>
      </c>
      <c r="O153" s="654" t="s">
        <v>34</v>
      </c>
      <c r="P153" s="600" t="s">
        <v>111</v>
      </c>
      <c r="Q153" s="600" t="s">
        <v>819</v>
      </c>
      <c r="R153" s="600">
        <v>1198</v>
      </c>
      <c r="S153" s="600">
        <v>563</v>
      </c>
      <c r="T153" s="600">
        <v>1198</v>
      </c>
      <c r="U153" s="600">
        <v>563</v>
      </c>
      <c r="V153" s="600">
        <v>1198</v>
      </c>
      <c r="W153" s="600">
        <v>563</v>
      </c>
      <c r="X153" s="6">
        <f t="shared" si="29"/>
        <v>2396</v>
      </c>
      <c r="Y153" s="6">
        <f t="shared" si="30"/>
        <v>1126</v>
      </c>
      <c r="Z153" s="12">
        <f t="shared" si="31"/>
        <v>1689</v>
      </c>
      <c r="AA153" s="816">
        <v>0.71000000000000008</v>
      </c>
      <c r="AB153" s="816">
        <v>0.62980000000000003</v>
      </c>
      <c r="AC153" s="836">
        <f t="shared" si="32"/>
        <v>850.58</v>
      </c>
      <c r="AD153" s="836">
        <f t="shared" si="33"/>
        <v>754.50040000000001</v>
      </c>
      <c r="AE153" s="816">
        <v>0.71000000000000008</v>
      </c>
      <c r="AF153" s="816">
        <v>0.76500000000000001</v>
      </c>
      <c r="AG153" s="836">
        <f t="shared" si="34"/>
        <v>850.58</v>
      </c>
      <c r="AH153" s="836">
        <f t="shared" si="42"/>
        <v>916.47</v>
      </c>
      <c r="AI153" s="794">
        <f t="shared" si="36"/>
        <v>1701.16</v>
      </c>
      <c r="AJ153" s="794">
        <f t="shared" si="37"/>
        <v>1670.9704000000002</v>
      </c>
      <c r="AK153" s="656">
        <v>2046964</v>
      </c>
      <c r="AL153" s="238">
        <v>627946</v>
      </c>
      <c r="AM153" s="238">
        <f t="shared" si="40"/>
        <v>2674910</v>
      </c>
      <c r="AN153" s="647">
        <v>21723</v>
      </c>
      <c r="AO153" s="647">
        <v>65169</v>
      </c>
      <c r="AP153" s="652">
        <v>43446</v>
      </c>
      <c r="AQ153" s="638">
        <v>500615</v>
      </c>
      <c r="AR153" s="638">
        <v>546144</v>
      </c>
      <c r="AS153" s="638">
        <v>547731</v>
      </c>
      <c r="AT153" s="638">
        <v>452474</v>
      </c>
      <c r="AU153" s="638">
        <v>58896</v>
      </c>
      <c r="AV153" s="638">
        <v>86892.64</v>
      </c>
      <c r="AW153" s="786">
        <v>139432</v>
      </c>
      <c r="AX153" s="720">
        <v>139432</v>
      </c>
      <c r="AY153" s="720">
        <v>0</v>
      </c>
      <c r="AZ153" s="640">
        <v>342725.34</v>
      </c>
      <c r="BA153" s="668"/>
      <c r="BB153" s="668"/>
      <c r="BC153" s="668"/>
      <c r="BD153" s="668"/>
      <c r="BE153" s="668"/>
      <c r="BF153" s="184"/>
      <c r="BG153" s="184">
        <v>43446</v>
      </c>
      <c r="BH153" s="184">
        <v>21723</v>
      </c>
      <c r="BI153" s="181">
        <v>65169</v>
      </c>
      <c r="BJ153" s="181">
        <f t="shared" si="41"/>
        <v>65169</v>
      </c>
    </row>
    <row r="154" spans="1:62" ht="89.1" customHeight="1" thickBot="1" x14ac:dyDescent="0.25">
      <c r="A154" s="42">
        <v>152</v>
      </c>
      <c r="B154" s="2" t="s">
        <v>55</v>
      </c>
      <c r="C154" s="2" t="s">
        <v>864</v>
      </c>
      <c r="D154" s="2" t="s">
        <v>1020</v>
      </c>
      <c r="E154" s="2" t="s">
        <v>1235</v>
      </c>
      <c r="F154" s="2" t="s">
        <v>75</v>
      </c>
      <c r="G154" s="3" t="s">
        <v>903</v>
      </c>
      <c r="H154" s="607" t="s">
        <v>1486</v>
      </c>
      <c r="I154" s="209" t="s">
        <v>865</v>
      </c>
      <c r="J154" s="209" t="s">
        <v>1011</v>
      </c>
      <c r="K154" s="209" t="s">
        <v>866</v>
      </c>
      <c r="L154" s="209" t="s">
        <v>209</v>
      </c>
      <c r="M154" s="156" t="s">
        <v>1063</v>
      </c>
      <c r="N154" s="156" t="s">
        <v>1063</v>
      </c>
      <c r="O154" s="156" t="s">
        <v>1063</v>
      </c>
      <c r="P154" s="660" t="s">
        <v>189</v>
      </c>
      <c r="Q154" s="660" t="s">
        <v>904</v>
      </c>
      <c r="R154" s="660">
        <v>0</v>
      </c>
      <c r="S154" s="660">
        <v>1320</v>
      </c>
      <c r="T154" s="660">
        <v>0</v>
      </c>
      <c r="U154" s="681">
        <v>1320</v>
      </c>
      <c r="V154" s="681">
        <v>0</v>
      </c>
      <c r="W154" s="681">
        <v>1320</v>
      </c>
      <c r="X154" s="6">
        <f t="shared" si="29"/>
        <v>0</v>
      </c>
      <c r="Y154" s="6">
        <f t="shared" si="30"/>
        <v>2640</v>
      </c>
      <c r="Z154" s="12">
        <f t="shared" si="31"/>
        <v>3960</v>
      </c>
      <c r="AA154" s="816">
        <v>0.5</v>
      </c>
      <c r="AB154" s="816">
        <v>0</v>
      </c>
      <c r="AC154" s="836">
        <f t="shared" si="32"/>
        <v>0</v>
      </c>
      <c r="AD154" s="836">
        <f t="shared" si="33"/>
        <v>0</v>
      </c>
      <c r="AE154" s="816">
        <v>0.5</v>
      </c>
      <c r="AF154" s="816">
        <v>0.98</v>
      </c>
      <c r="AG154" s="836">
        <f t="shared" si="34"/>
        <v>0</v>
      </c>
      <c r="AH154" s="836">
        <f t="shared" si="42"/>
        <v>0</v>
      </c>
      <c r="AI154" s="794">
        <f t="shared" si="36"/>
        <v>0</v>
      </c>
      <c r="AJ154" s="794">
        <f t="shared" si="37"/>
        <v>0</v>
      </c>
      <c r="AK154" s="745">
        <v>6240000</v>
      </c>
      <c r="AL154" s="750">
        <v>904944</v>
      </c>
      <c r="AM154" s="750">
        <f t="shared" si="40"/>
        <v>7144944</v>
      </c>
      <c r="AN154" s="661">
        <v>104283</v>
      </c>
      <c r="AO154" s="224">
        <v>208566</v>
      </c>
      <c r="AP154" s="765">
        <v>104283</v>
      </c>
      <c r="AQ154" s="167" t="s">
        <v>1336</v>
      </c>
      <c r="AR154" s="620">
        <v>2160000</v>
      </c>
      <c r="AS154" s="620">
        <v>2160000</v>
      </c>
      <c r="AT154" s="620">
        <v>1920000</v>
      </c>
      <c r="AU154" s="167" t="s">
        <v>1336</v>
      </c>
      <c r="AV154" s="620">
        <v>208567.2</v>
      </c>
      <c r="AW154" s="782">
        <v>220953</v>
      </c>
      <c r="AX154" s="785">
        <v>220953</v>
      </c>
      <c r="AY154" s="785">
        <v>0</v>
      </c>
      <c r="AZ154" s="664">
        <v>475424.22</v>
      </c>
      <c r="BA154" s="181"/>
      <c r="BB154" s="181"/>
      <c r="BC154" s="181"/>
      <c r="BD154" s="181"/>
      <c r="BE154" s="181"/>
      <c r="BF154" s="184"/>
      <c r="BG154" s="184">
        <v>0</v>
      </c>
      <c r="BH154" s="184">
        <v>21808</v>
      </c>
      <c r="BI154" s="245">
        <v>43616</v>
      </c>
      <c r="BJ154" s="245">
        <f t="shared" si="41"/>
        <v>21808</v>
      </c>
    </row>
    <row r="155" spans="1:62" ht="242.45" customHeight="1" thickBot="1" x14ac:dyDescent="0.25">
      <c r="A155" s="42">
        <v>153</v>
      </c>
      <c r="B155" s="2" t="s">
        <v>55</v>
      </c>
      <c r="C155" s="21" t="s">
        <v>867</v>
      </c>
      <c r="D155" s="2" t="s">
        <v>1020</v>
      </c>
      <c r="E155" s="2" t="s">
        <v>1247</v>
      </c>
      <c r="F155" s="2" t="s">
        <v>75</v>
      </c>
      <c r="G155" s="3" t="s">
        <v>905</v>
      </c>
      <c r="H155" s="607" t="s">
        <v>1487</v>
      </c>
      <c r="I155" s="209" t="s">
        <v>868</v>
      </c>
      <c r="J155" s="209" t="s">
        <v>994</v>
      </c>
      <c r="K155" s="209" t="s">
        <v>869</v>
      </c>
      <c r="L155" s="209" t="s">
        <v>870</v>
      </c>
      <c r="M155" s="231" t="s">
        <v>906</v>
      </c>
      <c r="N155" s="232" t="s">
        <v>907</v>
      </c>
      <c r="O155" s="633" t="s">
        <v>1091</v>
      </c>
      <c r="P155" s="660" t="s">
        <v>189</v>
      </c>
      <c r="Q155" s="660"/>
      <c r="R155" s="660">
        <v>0</v>
      </c>
      <c r="S155" s="660">
        <v>551</v>
      </c>
      <c r="T155" s="660">
        <v>0</v>
      </c>
      <c r="U155" s="729">
        <v>551</v>
      </c>
      <c r="V155" s="729">
        <v>0</v>
      </c>
      <c r="W155" s="729">
        <v>551</v>
      </c>
      <c r="X155" s="6">
        <f t="shared" si="29"/>
        <v>0</v>
      </c>
      <c r="Y155" s="6">
        <f t="shared" si="30"/>
        <v>1102</v>
      </c>
      <c r="Z155" s="12">
        <f t="shared" si="31"/>
        <v>1653</v>
      </c>
      <c r="AA155" s="816">
        <v>0.9</v>
      </c>
      <c r="AB155" s="816">
        <v>0.9</v>
      </c>
      <c r="AC155" s="836">
        <f t="shared" si="32"/>
        <v>0</v>
      </c>
      <c r="AD155" s="836">
        <f t="shared" si="33"/>
        <v>0</v>
      </c>
      <c r="AE155" s="816">
        <v>0.9</v>
      </c>
      <c r="AF155" s="816">
        <v>0.94</v>
      </c>
      <c r="AG155" s="836">
        <f t="shared" si="34"/>
        <v>0</v>
      </c>
      <c r="AH155" s="836">
        <f t="shared" si="42"/>
        <v>0</v>
      </c>
      <c r="AI155" s="794">
        <f t="shared" si="36"/>
        <v>0</v>
      </c>
      <c r="AJ155" s="794">
        <f t="shared" si="37"/>
        <v>0</v>
      </c>
      <c r="AK155" s="745">
        <v>4940000</v>
      </c>
      <c r="AL155" s="750">
        <v>716413</v>
      </c>
      <c r="AM155" s="756">
        <f t="shared" si="40"/>
        <v>5656413</v>
      </c>
      <c r="AN155" s="224">
        <v>165115</v>
      </c>
      <c r="AO155" s="625">
        <v>165115</v>
      </c>
      <c r="AP155" s="765">
        <v>0</v>
      </c>
      <c r="AQ155" s="765" t="s">
        <v>1336</v>
      </c>
      <c r="AR155" s="645">
        <v>1710000</v>
      </c>
      <c r="AS155" s="645">
        <v>1710000</v>
      </c>
      <c r="AT155" s="645">
        <v>1520000</v>
      </c>
      <c r="AU155" s="771" t="s">
        <v>1336</v>
      </c>
      <c r="AV155" s="645">
        <v>165115.70000000001</v>
      </c>
      <c r="AW155" s="784">
        <v>174921</v>
      </c>
      <c r="AX155" s="785">
        <v>145769</v>
      </c>
      <c r="AY155" s="785">
        <v>29154</v>
      </c>
      <c r="AZ155" s="664">
        <v>376377.51</v>
      </c>
      <c r="BA155" s="669"/>
      <c r="BB155" s="669"/>
      <c r="BC155" s="669"/>
      <c r="BD155" s="669"/>
      <c r="BE155" s="669"/>
      <c r="BF155" s="182"/>
      <c r="BG155" s="182">
        <v>0</v>
      </c>
      <c r="BH155" s="182">
        <f>34761*3</f>
        <v>104283</v>
      </c>
      <c r="BI155" s="246">
        <f>69522*3</f>
        <v>208566</v>
      </c>
      <c r="BJ155" s="245">
        <f t="shared" si="41"/>
        <v>104283</v>
      </c>
    </row>
    <row r="156" spans="1:62" ht="165.75" thickBot="1" x14ac:dyDescent="0.25">
      <c r="A156" s="42">
        <v>154</v>
      </c>
      <c r="B156" s="2" t="s">
        <v>55</v>
      </c>
      <c r="C156" s="3" t="s">
        <v>871</v>
      </c>
      <c r="D156" s="2" t="s">
        <v>1020</v>
      </c>
      <c r="E156" s="2" t="s">
        <v>1235</v>
      </c>
      <c r="F156" s="2" t="s">
        <v>75</v>
      </c>
      <c r="G156" s="3" t="s">
        <v>908</v>
      </c>
      <c r="H156" s="636" t="s">
        <v>1488</v>
      </c>
      <c r="I156" s="728" t="s">
        <v>872</v>
      </c>
      <c r="J156" s="209" t="s">
        <v>1262</v>
      </c>
      <c r="K156" s="209" t="s">
        <v>873</v>
      </c>
      <c r="L156" s="209" t="s">
        <v>209</v>
      </c>
      <c r="M156" s="231" t="s">
        <v>909</v>
      </c>
      <c r="N156" s="232" t="s">
        <v>910</v>
      </c>
      <c r="O156" s="233" t="s">
        <v>911</v>
      </c>
      <c r="P156" s="156" t="s">
        <v>28</v>
      </c>
      <c r="Q156" s="209" t="s">
        <v>912</v>
      </c>
      <c r="R156" s="209">
        <v>0</v>
      </c>
      <c r="S156" s="209">
        <v>1056</v>
      </c>
      <c r="T156" s="209">
        <v>0</v>
      </c>
      <c r="U156" s="209">
        <v>1056</v>
      </c>
      <c r="V156" s="209">
        <v>0</v>
      </c>
      <c r="W156" s="209">
        <v>1056</v>
      </c>
      <c r="X156" s="6">
        <f t="shared" si="29"/>
        <v>0</v>
      </c>
      <c r="Y156" s="6">
        <f t="shared" si="30"/>
        <v>2112</v>
      </c>
      <c r="Z156" s="12">
        <f t="shared" si="31"/>
        <v>3168</v>
      </c>
      <c r="AA156" s="816">
        <v>0.8</v>
      </c>
      <c r="AB156" s="816">
        <v>0.45999999999999996</v>
      </c>
      <c r="AC156" s="836">
        <f t="shared" si="32"/>
        <v>0</v>
      </c>
      <c r="AD156" s="836">
        <f t="shared" si="33"/>
        <v>0</v>
      </c>
      <c r="AE156" s="816">
        <v>0.8</v>
      </c>
      <c r="AF156" s="816">
        <v>0.48509999999999998</v>
      </c>
      <c r="AG156" s="836">
        <f t="shared" si="34"/>
        <v>0</v>
      </c>
      <c r="AH156" s="836">
        <f t="shared" si="42"/>
        <v>0</v>
      </c>
      <c r="AI156" s="794">
        <f t="shared" si="36"/>
        <v>0</v>
      </c>
      <c r="AJ156" s="794">
        <f t="shared" si="37"/>
        <v>0</v>
      </c>
      <c r="AK156" s="662">
        <v>9731918.2347659897</v>
      </c>
      <c r="AL156" s="750">
        <v>1232864</v>
      </c>
      <c r="AM156" s="756">
        <f t="shared" si="40"/>
        <v>10964782.23476599</v>
      </c>
      <c r="AN156" s="224">
        <v>257484</v>
      </c>
      <c r="AO156" s="625">
        <v>257484</v>
      </c>
      <c r="AP156" s="765">
        <v>0</v>
      </c>
      <c r="AQ156" s="639">
        <v>2197620.3926574499</v>
      </c>
      <c r="AR156" s="638">
        <v>2435655.33</v>
      </c>
      <c r="AS156" s="638">
        <v>2592864.29</v>
      </c>
      <c r="AT156" s="638">
        <v>2505778.2200000002</v>
      </c>
      <c r="AU156" s="680">
        <v>115664.23119249745</v>
      </c>
      <c r="AV156" s="638">
        <v>257486.84999999998</v>
      </c>
      <c r="AW156" s="786">
        <v>272778</v>
      </c>
      <c r="AX156" s="720">
        <v>426591</v>
      </c>
      <c r="AY156" s="720">
        <v>0</v>
      </c>
      <c r="AZ156" s="640">
        <v>586935.44999999995</v>
      </c>
      <c r="BA156" s="669"/>
      <c r="BB156" s="669"/>
      <c r="BC156" s="669"/>
      <c r="BD156" s="669"/>
      <c r="BE156" s="669"/>
      <c r="BF156" s="182"/>
      <c r="BG156" s="182">
        <v>0</v>
      </c>
      <c r="BH156" s="182">
        <f>110077+(27519*2)</f>
        <v>165115</v>
      </c>
      <c r="BI156" s="11">
        <f>110077+(27519*2)</f>
        <v>165115</v>
      </c>
      <c r="BJ156" s="181">
        <f t="shared" si="41"/>
        <v>165115</v>
      </c>
    </row>
    <row r="157" spans="1:62" ht="227.1" customHeight="1" thickBot="1" x14ac:dyDescent="0.25">
      <c r="A157" s="42">
        <v>155</v>
      </c>
      <c r="B157" s="2" t="s">
        <v>55</v>
      </c>
      <c r="C157" s="2" t="s">
        <v>874</v>
      </c>
      <c r="D157" s="2" t="s">
        <v>1020</v>
      </c>
      <c r="E157" s="2" t="s">
        <v>1235</v>
      </c>
      <c r="F157" s="2" t="s">
        <v>75</v>
      </c>
      <c r="G157" s="3" t="s">
        <v>913</v>
      </c>
      <c r="H157" s="636" t="s">
        <v>1489</v>
      </c>
      <c r="I157" s="728" t="s">
        <v>875</v>
      </c>
      <c r="J157" s="209" t="s">
        <v>992</v>
      </c>
      <c r="K157" s="209" t="s">
        <v>876</v>
      </c>
      <c r="L157" s="209" t="s">
        <v>10</v>
      </c>
      <c r="M157" s="231">
        <v>140</v>
      </c>
      <c r="N157" s="232">
        <v>68</v>
      </c>
      <c r="O157" s="233">
        <v>0.48571399999999998</v>
      </c>
      <c r="P157" s="156" t="s">
        <v>28</v>
      </c>
      <c r="Q157" s="209" t="s">
        <v>914</v>
      </c>
      <c r="R157" s="209">
        <v>148</v>
      </c>
      <c r="S157" s="209">
        <v>303</v>
      </c>
      <c r="T157" s="209">
        <v>148</v>
      </c>
      <c r="U157" s="209">
        <v>303</v>
      </c>
      <c r="V157" s="209">
        <v>148</v>
      </c>
      <c r="W157" s="209">
        <v>303</v>
      </c>
      <c r="X157" s="6">
        <f t="shared" si="29"/>
        <v>296</v>
      </c>
      <c r="Y157" s="6">
        <f t="shared" si="30"/>
        <v>606</v>
      </c>
      <c r="Z157" s="12">
        <f t="shared" si="31"/>
        <v>909</v>
      </c>
      <c r="AA157" s="816">
        <v>1</v>
      </c>
      <c r="AB157" s="816">
        <v>0.81790000000000007</v>
      </c>
      <c r="AC157" s="836">
        <f t="shared" si="32"/>
        <v>148</v>
      </c>
      <c r="AD157" s="836">
        <f t="shared" si="33"/>
        <v>121.04920000000001</v>
      </c>
      <c r="AE157" s="816">
        <v>1</v>
      </c>
      <c r="AF157" s="816">
        <v>0.92</v>
      </c>
      <c r="AG157" s="836">
        <f t="shared" si="34"/>
        <v>148</v>
      </c>
      <c r="AH157" s="836">
        <f t="shared" si="42"/>
        <v>136.16</v>
      </c>
      <c r="AI157" s="794">
        <f t="shared" si="36"/>
        <v>296</v>
      </c>
      <c r="AJ157" s="794">
        <f t="shared" si="37"/>
        <v>257.20920000000001</v>
      </c>
      <c r="AK157" s="662">
        <v>9130068.4432321992</v>
      </c>
      <c r="AL157" s="750">
        <v>1156622</v>
      </c>
      <c r="AM157" s="756">
        <f t="shared" si="40"/>
        <v>10286690.443232199</v>
      </c>
      <c r="AN157" s="647">
        <v>241564</v>
      </c>
      <c r="AO157" s="238">
        <v>241564</v>
      </c>
      <c r="AP157" s="651">
        <v>0</v>
      </c>
      <c r="AQ157" s="638">
        <v>2061713.2319842</v>
      </c>
      <c r="AR157" s="638">
        <v>2285027.41</v>
      </c>
      <c r="AS157" s="638">
        <v>2432514.11</v>
      </c>
      <c r="AT157" s="638">
        <v>2350813.7000000002</v>
      </c>
      <c r="AU157" s="638">
        <v>108511.2227360105</v>
      </c>
      <c r="AV157" s="638">
        <v>241563.11</v>
      </c>
      <c r="AW157" s="786">
        <v>255909.69</v>
      </c>
      <c r="AX157" s="720">
        <v>255910</v>
      </c>
      <c r="AY157" s="720">
        <v>0</v>
      </c>
      <c r="AZ157" s="640">
        <v>550637.68000000005</v>
      </c>
      <c r="BA157" s="668"/>
      <c r="BB157" s="668"/>
      <c r="BC157" s="668"/>
      <c r="BD157" s="668"/>
      <c r="BE157" s="668"/>
      <c r="BF157" s="182"/>
      <c r="BG157" s="182">
        <v>0</v>
      </c>
      <c r="BH157" s="182">
        <f>85828*3</f>
        <v>257484</v>
      </c>
      <c r="BI157" s="11">
        <f>85828*3</f>
        <v>257484</v>
      </c>
      <c r="BJ157" s="181">
        <f t="shared" si="41"/>
        <v>257484</v>
      </c>
    </row>
    <row r="158" spans="1:62" ht="225" customHeight="1" thickBot="1" x14ac:dyDescent="0.25">
      <c r="A158" s="42">
        <v>156</v>
      </c>
      <c r="B158" s="2" t="s">
        <v>877</v>
      </c>
      <c r="C158" s="2" t="s">
        <v>878</v>
      </c>
      <c r="D158" s="2" t="s">
        <v>1020</v>
      </c>
      <c r="E158" s="2" t="s">
        <v>1235</v>
      </c>
      <c r="F158" s="2" t="s">
        <v>75</v>
      </c>
      <c r="G158" s="3" t="s">
        <v>915</v>
      </c>
      <c r="H158" s="636" t="s">
        <v>1490</v>
      </c>
      <c r="I158" s="728" t="s">
        <v>879</v>
      </c>
      <c r="J158" s="209" t="s">
        <v>992</v>
      </c>
      <c r="K158" s="209" t="s">
        <v>880</v>
      </c>
      <c r="L158" s="209" t="s">
        <v>10</v>
      </c>
      <c r="M158" s="231">
        <v>16.451000000000001</v>
      </c>
      <c r="N158" s="232">
        <v>20.513000000000002</v>
      </c>
      <c r="O158" s="233">
        <v>1.246915</v>
      </c>
      <c r="P158" s="156" t="s">
        <v>189</v>
      </c>
      <c r="Q158" s="209"/>
      <c r="R158" s="209">
        <v>0</v>
      </c>
      <c r="S158" s="209">
        <v>4150</v>
      </c>
      <c r="T158" s="209">
        <v>0</v>
      </c>
      <c r="U158" s="209">
        <v>4150</v>
      </c>
      <c r="V158" s="209">
        <v>0</v>
      </c>
      <c r="W158" s="209">
        <v>4150</v>
      </c>
      <c r="X158" s="6">
        <f t="shared" si="29"/>
        <v>0</v>
      </c>
      <c r="Y158" s="6">
        <f t="shared" si="30"/>
        <v>8300</v>
      </c>
      <c r="Z158" s="12">
        <f t="shared" si="31"/>
        <v>12450</v>
      </c>
      <c r="AA158" s="816">
        <v>0.23</v>
      </c>
      <c r="AB158" s="816">
        <v>0.25669999999999998</v>
      </c>
      <c r="AC158" s="836">
        <f t="shared" si="32"/>
        <v>0</v>
      </c>
      <c r="AD158" s="836">
        <f t="shared" si="33"/>
        <v>0</v>
      </c>
      <c r="AE158" s="816">
        <v>0.23</v>
      </c>
      <c r="AF158" s="816">
        <v>0.48619999999999997</v>
      </c>
      <c r="AG158" s="836">
        <f t="shared" si="34"/>
        <v>0</v>
      </c>
      <c r="AH158" s="836">
        <f t="shared" si="42"/>
        <v>0</v>
      </c>
      <c r="AI158" s="794">
        <f t="shared" si="36"/>
        <v>0</v>
      </c>
      <c r="AJ158" s="794">
        <f t="shared" si="37"/>
        <v>0</v>
      </c>
      <c r="AK158" s="662">
        <v>12300270</v>
      </c>
      <c r="AL158" s="750">
        <v>3210466</v>
      </c>
      <c r="AM158" s="756">
        <f t="shared" si="40"/>
        <v>15510736</v>
      </c>
      <c r="AN158" s="756">
        <v>439514</v>
      </c>
      <c r="AO158" s="238">
        <v>439514</v>
      </c>
      <c r="AP158" s="651">
        <v>0</v>
      </c>
      <c r="AQ158" s="638">
        <v>2802976</v>
      </c>
      <c r="AR158" s="638">
        <v>3057896</v>
      </c>
      <c r="AS158" s="638">
        <v>3526337</v>
      </c>
      <c r="AT158" s="638">
        <v>2913061</v>
      </c>
      <c r="AU158" s="638">
        <v>379176</v>
      </c>
      <c r="AV158" s="638">
        <v>439514</v>
      </c>
      <c r="AW158" s="786">
        <v>705267</v>
      </c>
      <c r="AX158" s="720">
        <v>705268</v>
      </c>
      <c r="AY158" s="720">
        <v>0</v>
      </c>
      <c r="AZ158" s="640">
        <v>1686509</v>
      </c>
      <c r="BA158" s="668"/>
      <c r="BB158" s="668"/>
      <c r="BC158" s="668"/>
      <c r="BD158" s="668"/>
      <c r="BE158" s="668"/>
      <c r="BF158" s="184"/>
      <c r="BG158" s="184">
        <v>0</v>
      </c>
      <c r="BH158" s="184">
        <v>241564</v>
      </c>
      <c r="BI158" s="181">
        <v>241564</v>
      </c>
      <c r="BJ158" s="181">
        <f t="shared" si="41"/>
        <v>241564</v>
      </c>
    </row>
    <row r="159" spans="1:62" ht="195.75" thickBot="1" x14ac:dyDescent="0.25">
      <c r="A159" s="42">
        <v>157</v>
      </c>
      <c r="B159" s="2" t="s">
        <v>79</v>
      </c>
      <c r="C159" s="2" t="s">
        <v>881</v>
      </c>
      <c r="D159" s="2" t="s">
        <v>1020</v>
      </c>
      <c r="E159" s="2" t="s">
        <v>1248</v>
      </c>
      <c r="F159" s="2" t="s">
        <v>75</v>
      </c>
      <c r="G159" s="3" t="s">
        <v>916</v>
      </c>
      <c r="H159" s="702" t="s">
        <v>1491</v>
      </c>
      <c r="I159" s="728" t="s">
        <v>882</v>
      </c>
      <c r="J159" s="209" t="s">
        <v>992</v>
      </c>
      <c r="K159" s="209" t="s">
        <v>883</v>
      </c>
      <c r="L159" s="209" t="s">
        <v>209</v>
      </c>
      <c r="M159" s="653" t="s">
        <v>1063</v>
      </c>
      <c r="N159" s="653" t="s">
        <v>1063</v>
      </c>
      <c r="O159" s="653" t="s">
        <v>1063</v>
      </c>
      <c r="P159" s="156" t="s">
        <v>189</v>
      </c>
      <c r="Q159" s="209"/>
      <c r="R159" s="209">
        <v>0</v>
      </c>
      <c r="S159" s="209">
        <v>400</v>
      </c>
      <c r="T159" s="209">
        <v>0</v>
      </c>
      <c r="U159" s="209">
        <v>400</v>
      </c>
      <c r="V159" s="209">
        <v>0</v>
      </c>
      <c r="W159" s="209">
        <v>400</v>
      </c>
      <c r="X159" s="6">
        <f t="shared" si="29"/>
        <v>0</v>
      </c>
      <c r="Y159" s="6">
        <f t="shared" si="30"/>
        <v>800</v>
      </c>
      <c r="Z159" s="12">
        <f t="shared" si="31"/>
        <v>1200</v>
      </c>
      <c r="AA159" s="816">
        <v>0</v>
      </c>
      <c r="AB159" s="816" t="s">
        <v>1553</v>
      </c>
      <c r="AC159" s="836">
        <f t="shared" si="32"/>
        <v>0</v>
      </c>
      <c r="AD159" s="836" t="e">
        <f t="shared" si="33"/>
        <v>#VALUE!</v>
      </c>
      <c r="AE159" s="816">
        <v>0.25</v>
      </c>
      <c r="AF159" s="816">
        <v>0.77829999999999999</v>
      </c>
      <c r="AG159" s="836">
        <f t="shared" si="34"/>
        <v>0</v>
      </c>
      <c r="AH159" s="836">
        <f t="shared" si="42"/>
        <v>0</v>
      </c>
      <c r="AI159" s="794">
        <f t="shared" si="36"/>
        <v>0</v>
      </c>
      <c r="AJ159" s="794">
        <v>0</v>
      </c>
      <c r="AK159" s="662">
        <v>3388865</v>
      </c>
      <c r="AL159" s="750">
        <v>713454</v>
      </c>
      <c r="AM159" s="756">
        <f t="shared" si="40"/>
        <v>4102319</v>
      </c>
      <c r="AN159" s="661">
        <v>84507</v>
      </c>
      <c r="AO159" s="625">
        <v>169014</v>
      </c>
      <c r="AP159" s="765">
        <v>84507</v>
      </c>
      <c r="AQ159" s="661" t="s">
        <v>1336</v>
      </c>
      <c r="AR159" s="645">
        <v>1173633</v>
      </c>
      <c r="AS159" s="645">
        <v>1173633</v>
      </c>
      <c r="AT159" s="645">
        <v>1041599</v>
      </c>
      <c r="AU159" s="679" t="s">
        <v>1336</v>
      </c>
      <c r="AV159" s="645">
        <v>169011.12</v>
      </c>
      <c r="AW159" s="784">
        <v>174717.03</v>
      </c>
      <c r="AX159" s="785">
        <v>0</v>
      </c>
      <c r="AY159" s="785">
        <v>174717</v>
      </c>
      <c r="AZ159" s="664">
        <v>369724.73999999993</v>
      </c>
      <c r="BA159" s="668"/>
      <c r="BB159" s="668"/>
      <c r="BC159" s="668"/>
      <c r="BD159" s="668"/>
      <c r="BE159" s="668"/>
      <c r="BF159" s="184"/>
      <c r="BG159" s="184">
        <v>0</v>
      </c>
      <c r="BH159" s="184">
        <v>439514</v>
      </c>
      <c r="BI159" s="181">
        <v>439514</v>
      </c>
      <c r="BJ159" s="181">
        <f t="shared" si="41"/>
        <v>439514</v>
      </c>
    </row>
    <row r="160" spans="1:62" ht="225.95" customHeight="1" thickBot="1" x14ac:dyDescent="0.25">
      <c r="A160" s="42">
        <v>158</v>
      </c>
      <c r="B160" s="2" t="s">
        <v>79</v>
      </c>
      <c r="C160" s="2" t="s">
        <v>884</v>
      </c>
      <c r="D160" s="2" t="s">
        <v>1020</v>
      </c>
      <c r="E160" s="2" t="s">
        <v>1235</v>
      </c>
      <c r="F160" s="2" t="s">
        <v>75</v>
      </c>
      <c r="G160" s="3" t="s">
        <v>917</v>
      </c>
      <c r="H160" s="636" t="s">
        <v>1492</v>
      </c>
      <c r="I160" s="728" t="s">
        <v>885</v>
      </c>
      <c r="J160" s="209" t="s">
        <v>992</v>
      </c>
      <c r="K160" s="209" t="s">
        <v>886</v>
      </c>
      <c r="L160" s="209" t="s">
        <v>10</v>
      </c>
      <c r="M160" s="231">
        <v>11.88</v>
      </c>
      <c r="N160" s="232">
        <v>14.17</v>
      </c>
      <c r="O160" s="633">
        <v>1.192761</v>
      </c>
      <c r="P160" s="156" t="s">
        <v>28</v>
      </c>
      <c r="Q160" s="209" t="s">
        <v>918</v>
      </c>
      <c r="R160" s="209">
        <v>0</v>
      </c>
      <c r="S160" s="738">
        <v>12480</v>
      </c>
      <c r="T160" s="738">
        <v>0</v>
      </c>
      <c r="U160" s="738">
        <v>12480</v>
      </c>
      <c r="V160" s="738">
        <v>0</v>
      </c>
      <c r="W160" s="738">
        <v>12480</v>
      </c>
      <c r="X160" s="6">
        <f t="shared" si="29"/>
        <v>0</v>
      </c>
      <c r="Y160" s="6">
        <f t="shared" si="30"/>
        <v>24960</v>
      </c>
      <c r="Z160" s="12">
        <f t="shared" si="31"/>
        <v>37440</v>
      </c>
      <c r="AA160" s="816">
        <v>0.18</v>
      </c>
      <c r="AB160" s="816">
        <v>0.50340000000000007</v>
      </c>
      <c r="AC160" s="836">
        <f t="shared" si="32"/>
        <v>0</v>
      </c>
      <c r="AD160" s="836">
        <f t="shared" si="33"/>
        <v>0</v>
      </c>
      <c r="AE160" s="816">
        <v>0.18</v>
      </c>
      <c r="AF160" s="816">
        <v>0.61260000000000003</v>
      </c>
      <c r="AG160" s="836">
        <f t="shared" si="34"/>
        <v>0</v>
      </c>
      <c r="AH160" s="836">
        <f t="shared" si="42"/>
        <v>0</v>
      </c>
      <c r="AI160" s="794">
        <f t="shared" si="36"/>
        <v>0</v>
      </c>
      <c r="AJ160" s="794">
        <f t="shared" si="37"/>
        <v>0</v>
      </c>
      <c r="AK160" s="662">
        <v>12711258</v>
      </c>
      <c r="AL160" s="750">
        <v>1934872</v>
      </c>
      <c r="AM160" s="756">
        <f t="shared" si="40"/>
        <v>14646130</v>
      </c>
      <c r="AN160" s="756">
        <v>422528</v>
      </c>
      <c r="AO160" s="238">
        <v>422528</v>
      </c>
      <c r="AP160" s="651">
        <v>0</v>
      </c>
      <c r="AQ160" s="639">
        <v>2873536</v>
      </c>
      <c r="AR160" s="638">
        <v>3240831</v>
      </c>
      <c r="AS160" s="638">
        <v>3370464</v>
      </c>
      <c r="AT160" s="638">
        <v>3226427</v>
      </c>
      <c r="AU160" s="680">
        <v>151239</v>
      </c>
      <c r="AV160" s="638">
        <v>422527.8</v>
      </c>
      <c r="AW160" s="786">
        <v>436792</v>
      </c>
      <c r="AX160" s="720">
        <v>436792</v>
      </c>
      <c r="AY160" s="720">
        <v>0</v>
      </c>
      <c r="AZ160" s="640">
        <v>924311.84999999986</v>
      </c>
      <c r="BA160" s="669"/>
      <c r="BB160" s="669"/>
      <c r="BC160" s="669"/>
      <c r="BD160" s="669"/>
      <c r="BE160" s="669"/>
      <c r="BF160" s="182"/>
      <c r="BG160" s="182" t="s">
        <v>1106</v>
      </c>
      <c r="BH160" s="182">
        <f>28169*3</f>
        <v>84507</v>
      </c>
      <c r="BI160" s="11">
        <f>56338*3</f>
        <v>169014</v>
      </c>
      <c r="BJ160" s="181">
        <f>(28169*3)+84507</f>
        <v>169014</v>
      </c>
    </row>
    <row r="161" spans="1:62" ht="137.1" customHeight="1" thickBot="1" x14ac:dyDescent="0.25">
      <c r="A161" s="42">
        <v>159</v>
      </c>
      <c r="B161" s="2" t="s">
        <v>79</v>
      </c>
      <c r="C161" s="2" t="s">
        <v>887</v>
      </c>
      <c r="D161" s="2" t="s">
        <v>1020</v>
      </c>
      <c r="E161" s="2" t="s">
        <v>1236</v>
      </c>
      <c r="F161" s="2" t="s">
        <v>1029</v>
      </c>
      <c r="G161" s="3" t="s">
        <v>919</v>
      </c>
      <c r="H161" s="636" t="s">
        <v>1493</v>
      </c>
      <c r="I161" s="728" t="s">
        <v>888</v>
      </c>
      <c r="J161" s="209" t="s">
        <v>992</v>
      </c>
      <c r="K161" s="209" t="s">
        <v>431</v>
      </c>
      <c r="L161" s="209" t="s">
        <v>10</v>
      </c>
      <c r="M161" s="231">
        <v>4173</v>
      </c>
      <c r="N161" s="232">
        <v>265</v>
      </c>
      <c r="O161" s="233">
        <v>6.3503000000000004E-2</v>
      </c>
      <c r="P161" s="156" t="s">
        <v>28</v>
      </c>
      <c r="Q161" s="156" t="s">
        <v>920</v>
      </c>
      <c r="R161" s="156">
        <v>0</v>
      </c>
      <c r="S161" s="156">
        <v>1000</v>
      </c>
      <c r="T161" s="156">
        <v>0</v>
      </c>
      <c r="U161" s="156">
        <v>1000</v>
      </c>
      <c r="V161" s="156">
        <v>0</v>
      </c>
      <c r="W161" s="156">
        <v>1000</v>
      </c>
      <c r="X161" s="6">
        <f t="shared" si="29"/>
        <v>0</v>
      </c>
      <c r="Y161" s="6">
        <f t="shared" si="30"/>
        <v>2000</v>
      </c>
      <c r="Z161" s="12">
        <f t="shared" si="31"/>
        <v>3000</v>
      </c>
      <c r="AA161" s="815">
        <v>0.23</v>
      </c>
      <c r="AB161" s="815">
        <v>0.4</v>
      </c>
      <c r="AC161" s="836">
        <f t="shared" si="32"/>
        <v>0</v>
      </c>
      <c r="AD161" s="836">
        <f t="shared" si="33"/>
        <v>0</v>
      </c>
      <c r="AE161" s="815">
        <v>0.23</v>
      </c>
      <c r="AF161" s="815">
        <v>0.29020000000000001</v>
      </c>
      <c r="AG161" s="836">
        <f t="shared" si="34"/>
        <v>0</v>
      </c>
      <c r="AH161" s="836">
        <f t="shared" si="42"/>
        <v>0</v>
      </c>
      <c r="AI161" s="794">
        <f t="shared" si="36"/>
        <v>0</v>
      </c>
      <c r="AJ161" s="794">
        <f t="shared" si="37"/>
        <v>0</v>
      </c>
      <c r="AK161" s="663">
        <v>11863840</v>
      </c>
      <c r="AL161" s="750">
        <v>1211336</v>
      </c>
      <c r="AM161" s="756">
        <f t="shared" si="40"/>
        <v>13075176</v>
      </c>
      <c r="AN161" s="756">
        <v>253516</v>
      </c>
      <c r="AO161" s="238">
        <v>253516</v>
      </c>
      <c r="AP161" s="651">
        <v>0</v>
      </c>
      <c r="AQ161" s="638">
        <v>2681967</v>
      </c>
      <c r="AR161" s="638">
        <v>3024775</v>
      </c>
      <c r="AS161" s="638">
        <v>3145766</v>
      </c>
      <c r="AT161" s="638">
        <v>3011332</v>
      </c>
      <c r="AU161" s="638">
        <v>141156</v>
      </c>
      <c r="AV161" s="638">
        <v>253516.68</v>
      </c>
      <c r="AW161" s="786">
        <v>262075.53</v>
      </c>
      <c r="AX161" s="720">
        <v>0</v>
      </c>
      <c r="AY161" s="720">
        <v>262076</v>
      </c>
      <c r="AZ161" s="640">
        <v>554587.10999999987</v>
      </c>
      <c r="BA161" s="668"/>
      <c r="BB161" s="668"/>
      <c r="BC161" s="668"/>
      <c r="BD161" s="668"/>
      <c r="BE161" s="668"/>
      <c r="BF161" s="184"/>
      <c r="BG161" s="184">
        <v>0</v>
      </c>
      <c r="BH161" s="184">
        <v>422528</v>
      </c>
      <c r="BI161" s="181">
        <v>422528</v>
      </c>
      <c r="BJ161" s="181">
        <f t="shared" si="41"/>
        <v>422528</v>
      </c>
    </row>
    <row r="162" spans="1:62" ht="135.75" thickBot="1" x14ac:dyDescent="0.25">
      <c r="A162" s="42">
        <v>160</v>
      </c>
      <c r="B162" s="2" t="s">
        <v>351</v>
      </c>
      <c r="C162" s="2" t="s">
        <v>889</v>
      </c>
      <c r="D162" s="2" t="s">
        <v>1020</v>
      </c>
      <c r="E162" s="2" t="s">
        <v>1235</v>
      </c>
      <c r="F162" s="2" t="s">
        <v>75</v>
      </c>
      <c r="G162" s="3" t="s">
        <v>921</v>
      </c>
      <c r="H162" s="636" t="s">
        <v>1494</v>
      </c>
      <c r="I162" s="728" t="s">
        <v>890</v>
      </c>
      <c r="J162" s="209" t="s">
        <v>992</v>
      </c>
      <c r="K162" s="209" t="s">
        <v>457</v>
      </c>
      <c r="L162" s="209" t="s">
        <v>10</v>
      </c>
      <c r="M162" s="653" t="s">
        <v>34</v>
      </c>
      <c r="N162" s="653" t="s">
        <v>34</v>
      </c>
      <c r="O162" s="653" t="s">
        <v>34</v>
      </c>
      <c r="P162" s="156" t="s">
        <v>28</v>
      </c>
      <c r="Q162" s="156" t="s">
        <v>922</v>
      </c>
      <c r="R162" s="156">
        <v>0</v>
      </c>
      <c r="S162" s="737">
        <v>115</v>
      </c>
      <c r="T162" s="737">
        <v>0</v>
      </c>
      <c r="U162" s="737">
        <v>115</v>
      </c>
      <c r="V162" s="737">
        <v>0</v>
      </c>
      <c r="W162" s="737">
        <v>115</v>
      </c>
      <c r="X162" s="6">
        <f t="shared" si="29"/>
        <v>0</v>
      </c>
      <c r="Y162" s="6">
        <f t="shared" si="30"/>
        <v>230</v>
      </c>
      <c r="Z162" s="12">
        <f t="shared" si="31"/>
        <v>345</v>
      </c>
      <c r="AA162" s="815">
        <v>0</v>
      </c>
      <c r="AB162" s="815" t="s">
        <v>1553</v>
      </c>
      <c r="AC162" s="836">
        <f t="shared" si="32"/>
        <v>0</v>
      </c>
      <c r="AD162" s="836">
        <v>0</v>
      </c>
      <c r="AE162" s="815">
        <v>0.33</v>
      </c>
      <c r="AF162" s="815">
        <v>0.70870000000000011</v>
      </c>
      <c r="AG162" s="836">
        <f t="shared" si="34"/>
        <v>0</v>
      </c>
      <c r="AH162" s="836">
        <f t="shared" si="42"/>
        <v>0</v>
      </c>
      <c r="AI162" s="794">
        <f t="shared" si="36"/>
        <v>0</v>
      </c>
      <c r="AJ162" s="794">
        <f t="shared" si="37"/>
        <v>0</v>
      </c>
      <c r="AK162" s="663">
        <v>2967158.8354780604</v>
      </c>
      <c r="AL162" s="750">
        <v>1056411</v>
      </c>
      <c r="AM162" s="756">
        <f t="shared" ref="AM162:AM175" si="43">SUM(AK162:AL162)</f>
        <v>4023569.8354780604</v>
      </c>
      <c r="AN162" s="756">
        <v>86228</v>
      </c>
      <c r="AO162" s="238">
        <v>172456</v>
      </c>
      <c r="AP162" s="651">
        <v>86228</v>
      </c>
      <c r="AQ162" s="638">
        <v>725661.82833691197</v>
      </c>
      <c r="AR162" s="638">
        <v>791658.08</v>
      </c>
      <c r="AS162" s="638">
        <v>793959.41</v>
      </c>
      <c r="AT162" s="638">
        <v>655879.51</v>
      </c>
      <c r="AU162" s="638">
        <v>99092</v>
      </c>
      <c r="AV162" s="638">
        <v>172455.87200000961</v>
      </c>
      <c r="AW162" s="786">
        <v>250617.71159999742</v>
      </c>
      <c r="AX162" s="720">
        <v>250618</v>
      </c>
      <c r="AY162" s="720">
        <v>0</v>
      </c>
      <c r="AZ162" s="640">
        <v>534244.73700799595</v>
      </c>
      <c r="BA162" s="668"/>
      <c r="BB162" s="668"/>
      <c r="BC162" s="668"/>
      <c r="BD162" s="668"/>
      <c r="BE162" s="668"/>
      <c r="BF162" s="184"/>
      <c r="BG162" s="184">
        <v>0</v>
      </c>
      <c r="BH162" s="184">
        <v>253516</v>
      </c>
      <c r="BI162" s="181">
        <v>253516</v>
      </c>
      <c r="BJ162" s="181">
        <f t="shared" si="41"/>
        <v>253516</v>
      </c>
    </row>
    <row r="163" spans="1:62" ht="240.75" thickBot="1" x14ac:dyDescent="0.25">
      <c r="A163" s="42">
        <v>161</v>
      </c>
      <c r="B163" s="2" t="s">
        <v>458</v>
      </c>
      <c r="C163" s="2" t="s">
        <v>891</v>
      </c>
      <c r="D163" s="2" t="s">
        <v>1020</v>
      </c>
      <c r="E163" s="2" t="s">
        <v>1235</v>
      </c>
      <c r="F163" s="2" t="s">
        <v>75</v>
      </c>
      <c r="G163" s="3" t="s">
        <v>923</v>
      </c>
      <c r="H163" s="636" t="s">
        <v>1495</v>
      </c>
      <c r="I163" s="728" t="s">
        <v>892</v>
      </c>
      <c r="J163" s="209" t="s">
        <v>992</v>
      </c>
      <c r="K163" s="209" t="s">
        <v>893</v>
      </c>
      <c r="L163" s="209" t="s">
        <v>10</v>
      </c>
      <c r="M163" s="732" t="s">
        <v>34</v>
      </c>
      <c r="N163" s="732" t="s">
        <v>34</v>
      </c>
      <c r="O163" s="156" t="s">
        <v>34</v>
      </c>
      <c r="P163" s="156" t="s">
        <v>28</v>
      </c>
      <c r="Q163" s="156" t="s">
        <v>924</v>
      </c>
      <c r="R163" s="156">
        <v>0</v>
      </c>
      <c r="S163" s="156">
        <v>0</v>
      </c>
      <c r="T163" s="156">
        <v>0</v>
      </c>
      <c r="U163" s="156">
        <v>180</v>
      </c>
      <c r="V163" s="156">
        <v>0</v>
      </c>
      <c r="W163" s="156">
        <v>200</v>
      </c>
      <c r="X163" s="6">
        <f t="shared" si="29"/>
        <v>0</v>
      </c>
      <c r="Y163" s="6">
        <f t="shared" si="30"/>
        <v>180</v>
      </c>
      <c r="Z163" s="12">
        <f t="shared" si="31"/>
        <v>380</v>
      </c>
      <c r="AA163" s="815">
        <v>0</v>
      </c>
      <c r="AB163" s="815" t="s">
        <v>1553</v>
      </c>
      <c r="AC163" s="836">
        <f t="shared" si="32"/>
        <v>0</v>
      </c>
      <c r="AD163" s="836">
        <v>0</v>
      </c>
      <c r="AE163" s="815">
        <v>0.22</v>
      </c>
      <c r="AF163" s="815" t="s">
        <v>1553</v>
      </c>
      <c r="AG163" s="836">
        <f t="shared" si="34"/>
        <v>0</v>
      </c>
      <c r="AH163" s="836">
        <v>0</v>
      </c>
      <c r="AI163" s="794">
        <f t="shared" si="36"/>
        <v>0</v>
      </c>
      <c r="AJ163" s="794">
        <f t="shared" si="37"/>
        <v>0</v>
      </c>
      <c r="AK163" s="663">
        <v>676986</v>
      </c>
      <c r="AL163" s="750">
        <v>327686</v>
      </c>
      <c r="AM163" s="756">
        <f t="shared" si="43"/>
        <v>1004672</v>
      </c>
      <c r="AN163" s="756">
        <v>23824</v>
      </c>
      <c r="AO163" s="238">
        <v>47648</v>
      </c>
      <c r="AP163" s="651">
        <v>23824</v>
      </c>
      <c r="AQ163" s="638">
        <v>162065</v>
      </c>
      <c r="AR163" s="638">
        <v>180699</v>
      </c>
      <c r="AS163" s="638">
        <v>183320</v>
      </c>
      <c r="AT163" s="638">
        <v>150902</v>
      </c>
      <c r="AU163" s="638">
        <v>19067</v>
      </c>
      <c r="AV163" s="638">
        <v>47648.4</v>
      </c>
      <c r="AW163" s="786">
        <v>77047.399999999994</v>
      </c>
      <c r="AX163" s="720">
        <v>0</v>
      </c>
      <c r="AY163" s="720">
        <v>77048</v>
      </c>
      <c r="AZ163" s="640">
        <v>183924.4</v>
      </c>
      <c r="BA163" s="668"/>
      <c r="BB163" s="668"/>
      <c r="BC163" s="668"/>
      <c r="BD163" s="668"/>
      <c r="BE163" s="668"/>
      <c r="BF163" s="184"/>
      <c r="BG163" s="184">
        <v>90495</v>
      </c>
      <c r="BH163" s="184">
        <v>86228</v>
      </c>
      <c r="BI163" s="181">
        <v>172456</v>
      </c>
      <c r="BJ163" s="181">
        <f t="shared" si="41"/>
        <v>176723</v>
      </c>
    </row>
    <row r="164" spans="1:62" ht="120.95" customHeight="1" thickBot="1" x14ac:dyDescent="0.25">
      <c r="A164" s="42">
        <v>162</v>
      </c>
      <c r="B164" s="2" t="s">
        <v>266</v>
      </c>
      <c r="C164" s="2" t="s">
        <v>894</v>
      </c>
      <c r="D164" s="2" t="s">
        <v>1020</v>
      </c>
      <c r="E164" s="2" t="s">
        <v>1235</v>
      </c>
      <c r="F164" s="2" t="s">
        <v>75</v>
      </c>
      <c r="G164" s="3" t="s">
        <v>925</v>
      </c>
      <c r="H164" s="636" t="s">
        <v>1496</v>
      </c>
      <c r="I164" s="728" t="s">
        <v>895</v>
      </c>
      <c r="J164" s="209" t="s">
        <v>992</v>
      </c>
      <c r="K164" s="209" t="s">
        <v>1191</v>
      </c>
      <c r="L164" s="209" t="s">
        <v>10</v>
      </c>
      <c r="M164" s="231">
        <v>23470</v>
      </c>
      <c r="N164" s="232">
        <v>22063</v>
      </c>
      <c r="O164" s="633">
        <v>0.94005099999999997</v>
      </c>
      <c r="P164" s="156" t="s">
        <v>28</v>
      </c>
      <c r="Q164" s="156" t="s">
        <v>926</v>
      </c>
      <c r="R164" s="156">
        <v>0</v>
      </c>
      <c r="S164" s="156">
        <v>200</v>
      </c>
      <c r="T164" s="156">
        <v>600</v>
      </c>
      <c r="U164" s="741">
        <v>300</v>
      </c>
      <c r="V164" s="741">
        <v>1047</v>
      </c>
      <c r="W164" s="741">
        <v>700</v>
      </c>
      <c r="X164" s="6">
        <f t="shared" si="29"/>
        <v>1647</v>
      </c>
      <c r="Y164" s="6">
        <f t="shared" si="30"/>
        <v>500</v>
      </c>
      <c r="Z164" s="12">
        <f t="shared" si="31"/>
        <v>1200</v>
      </c>
      <c r="AA164" s="815">
        <v>0.72</v>
      </c>
      <c r="AB164" s="815">
        <v>0.56830000000000003</v>
      </c>
      <c r="AC164" s="836">
        <f t="shared" si="32"/>
        <v>432</v>
      </c>
      <c r="AD164" s="836">
        <f t="shared" si="33"/>
        <v>340.98</v>
      </c>
      <c r="AE164" s="815">
        <v>0.72</v>
      </c>
      <c r="AF164" s="815">
        <v>0.59410000000000007</v>
      </c>
      <c r="AG164" s="836">
        <f t="shared" si="34"/>
        <v>753.83999999999992</v>
      </c>
      <c r="AH164" s="836">
        <f>AF164*V164</f>
        <v>622.0227000000001</v>
      </c>
      <c r="AI164" s="794">
        <f t="shared" si="36"/>
        <v>1185.8399999999999</v>
      </c>
      <c r="AJ164" s="794">
        <f t="shared" si="37"/>
        <v>963.00270000000012</v>
      </c>
      <c r="AK164" s="663">
        <v>12801250</v>
      </c>
      <c r="AL164" s="750">
        <v>3121650</v>
      </c>
      <c r="AM164" s="756">
        <f t="shared" si="43"/>
        <v>15922900</v>
      </c>
      <c r="AN164" s="647">
        <v>427110</v>
      </c>
      <c r="AO164" s="238">
        <v>427110</v>
      </c>
      <c r="AP164" s="651">
        <v>0</v>
      </c>
      <c r="AQ164" s="638">
        <v>3130732</v>
      </c>
      <c r="AR164" s="638">
        <v>3415460</v>
      </c>
      <c r="AS164" s="638">
        <v>3425389</v>
      </c>
      <c r="AT164" s="638">
        <v>2829669</v>
      </c>
      <c r="AU164" s="638">
        <v>368321</v>
      </c>
      <c r="AV164" s="638">
        <v>427109.30653600005</v>
      </c>
      <c r="AW164" s="786">
        <v>686884.72349200002</v>
      </c>
      <c r="AX164" s="720">
        <v>343442</v>
      </c>
      <c r="AY164" s="720">
        <v>343442</v>
      </c>
      <c r="AZ164" s="640">
        <v>1639334.6685319999</v>
      </c>
      <c r="BA164" s="668"/>
      <c r="BB164" s="668"/>
      <c r="BC164" s="668"/>
      <c r="BD164" s="668"/>
      <c r="BE164" s="668"/>
      <c r="BF164" s="184"/>
      <c r="BG164" s="184">
        <v>0</v>
      </c>
      <c r="BH164" s="184">
        <v>23824</v>
      </c>
      <c r="BI164" s="245">
        <v>47648</v>
      </c>
      <c r="BJ164" s="245">
        <f t="shared" si="41"/>
        <v>23824</v>
      </c>
    </row>
    <row r="165" spans="1:62" ht="60.6" customHeight="1" thickBot="1" x14ac:dyDescent="0.25">
      <c r="A165" s="42">
        <v>154</v>
      </c>
      <c r="B165" s="2" t="s">
        <v>266</v>
      </c>
      <c r="C165" s="2" t="s">
        <v>896</v>
      </c>
      <c r="D165" s="2" t="s">
        <v>1020</v>
      </c>
      <c r="E165" s="2" t="s">
        <v>1235</v>
      </c>
      <c r="F165" s="2" t="s">
        <v>75</v>
      </c>
      <c r="G165" s="3" t="s">
        <v>927</v>
      </c>
      <c r="H165" s="636" t="s">
        <v>1497</v>
      </c>
      <c r="I165" s="728" t="s">
        <v>897</v>
      </c>
      <c r="J165" s="209" t="s">
        <v>1003</v>
      </c>
      <c r="K165" s="209" t="s">
        <v>898</v>
      </c>
      <c r="L165" s="209" t="s">
        <v>10</v>
      </c>
      <c r="M165" s="231">
        <v>2342</v>
      </c>
      <c r="N165" s="232">
        <v>273</v>
      </c>
      <c r="O165" s="233">
        <v>0.116567</v>
      </c>
      <c r="P165" s="156" t="s">
        <v>28</v>
      </c>
      <c r="Q165" s="156" t="s">
        <v>912</v>
      </c>
      <c r="R165" s="156">
        <v>0</v>
      </c>
      <c r="S165" s="156">
        <v>200</v>
      </c>
      <c r="T165" s="156">
        <v>434</v>
      </c>
      <c r="U165" s="156">
        <v>600</v>
      </c>
      <c r="V165" s="156">
        <v>1346</v>
      </c>
      <c r="W165" s="156">
        <v>1250</v>
      </c>
      <c r="X165" s="6">
        <f t="shared" si="29"/>
        <v>1780</v>
      </c>
      <c r="Y165" s="6">
        <f t="shared" si="30"/>
        <v>800</v>
      </c>
      <c r="Z165" s="12">
        <f t="shared" si="31"/>
        <v>2050</v>
      </c>
      <c r="AA165" s="815">
        <v>0.72</v>
      </c>
      <c r="AB165" s="815">
        <v>0.7742</v>
      </c>
      <c r="AC165" s="836">
        <f t="shared" si="32"/>
        <v>312.47999999999996</v>
      </c>
      <c r="AD165" s="836">
        <f t="shared" si="33"/>
        <v>336.00279999999998</v>
      </c>
      <c r="AE165" s="815">
        <v>0.72</v>
      </c>
      <c r="AF165" s="815">
        <v>0.78750000000000009</v>
      </c>
      <c r="AG165" s="836">
        <f t="shared" si="34"/>
        <v>969.12</v>
      </c>
      <c r="AH165" s="836">
        <f>AF165*V165</f>
        <v>1059.9750000000001</v>
      </c>
      <c r="AI165" s="794">
        <f t="shared" si="36"/>
        <v>1281.5999999999999</v>
      </c>
      <c r="AJ165" s="794">
        <f t="shared" si="37"/>
        <v>1395.9778000000001</v>
      </c>
      <c r="AK165" s="663">
        <v>21023764</v>
      </c>
      <c r="AL165" s="750">
        <v>7294719</v>
      </c>
      <c r="AM165" s="756">
        <f t="shared" si="43"/>
        <v>28318483</v>
      </c>
      <c r="AN165" s="647">
        <v>854218</v>
      </c>
      <c r="AO165" s="238">
        <v>854218</v>
      </c>
      <c r="AP165" s="651">
        <v>0</v>
      </c>
      <c r="AQ165" s="638">
        <v>4146368</v>
      </c>
      <c r="AR165" s="638">
        <v>5603850</v>
      </c>
      <c r="AS165" s="638">
        <v>6053330</v>
      </c>
      <c r="AT165" s="638">
        <v>5220216</v>
      </c>
      <c r="AU165" s="638">
        <v>1788062</v>
      </c>
      <c r="AV165" s="638">
        <v>854218.61307200009</v>
      </c>
      <c r="AW165" s="786">
        <v>1373769.446984</v>
      </c>
      <c r="AX165" s="720">
        <v>686885</v>
      </c>
      <c r="AY165" s="720">
        <v>686885</v>
      </c>
      <c r="AZ165" s="640">
        <v>3278669.3370639998</v>
      </c>
      <c r="BA165" s="668"/>
      <c r="BB165" s="668"/>
      <c r="BC165" s="668"/>
      <c r="BD165" s="668"/>
      <c r="BE165" s="668"/>
      <c r="BF165" s="184"/>
      <c r="BG165" s="184">
        <v>0</v>
      </c>
      <c r="BH165" s="184">
        <v>427110</v>
      </c>
      <c r="BI165" s="181">
        <v>427110</v>
      </c>
      <c r="BJ165" s="181">
        <f t="shared" si="41"/>
        <v>427110</v>
      </c>
    </row>
    <row r="166" spans="1:62" ht="105.95" hidden="1" customHeight="1" thickBot="1" x14ac:dyDescent="0.25">
      <c r="A166" s="42">
        <v>163</v>
      </c>
      <c r="B166" s="16" t="s">
        <v>362</v>
      </c>
      <c r="C166" s="16" t="s">
        <v>815</v>
      </c>
      <c r="D166" s="16" t="s">
        <v>759</v>
      </c>
      <c r="E166" s="16" t="s">
        <v>1228</v>
      </c>
      <c r="F166" s="16" t="s">
        <v>760</v>
      </c>
      <c r="G166" s="3" t="s">
        <v>860</v>
      </c>
      <c r="H166" s="156" t="s">
        <v>1447</v>
      </c>
      <c r="I166" s="600" t="s">
        <v>816</v>
      </c>
      <c r="J166" s="157" t="s">
        <v>993</v>
      </c>
      <c r="K166" s="600" t="s">
        <v>817</v>
      </c>
      <c r="L166" s="600" t="s">
        <v>10</v>
      </c>
      <c r="M166" s="623" t="s">
        <v>34</v>
      </c>
      <c r="N166" s="623" t="s">
        <v>34</v>
      </c>
      <c r="O166" s="623" t="s">
        <v>34</v>
      </c>
      <c r="P166" s="157" t="s">
        <v>111</v>
      </c>
      <c r="Q166" s="156" t="s">
        <v>819</v>
      </c>
      <c r="R166" s="156"/>
      <c r="S166" s="157">
        <v>0</v>
      </c>
      <c r="T166" s="157"/>
      <c r="U166" s="157">
        <v>900</v>
      </c>
      <c r="V166" s="157"/>
      <c r="W166" s="157">
        <v>2100</v>
      </c>
      <c r="X166" s="157"/>
      <c r="Y166" s="157"/>
      <c r="Z166" s="157">
        <f>SUM(S166:W166)</f>
        <v>3000</v>
      </c>
      <c r="AA166" s="157"/>
      <c r="AB166" s="157"/>
      <c r="AC166" s="157"/>
      <c r="AD166" s="157"/>
      <c r="AE166" s="157"/>
      <c r="AF166" s="157"/>
      <c r="AG166" s="157"/>
      <c r="AH166" s="157"/>
      <c r="AI166" s="157"/>
      <c r="AJ166" s="157"/>
      <c r="AK166" s="678">
        <v>2624239</v>
      </c>
      <c r="AL166" s="238">
        <v>357361</v>
      </c>
      <c r="AM166" s="647">
        <f t="shared" si="43"/>
        <v>2981600</v>
      </c>
      <c r="AN166" s="647">
        <v>0</v>
      </c>
      <c r="AO166" s="238">
        <v>0</v>
      </c>
      <c r="AP166" s="652">
        <v>0</v>
      </c>
      <c r="AQ166" s="647"/>
      <c r="AR166" s="647"/>
      <c r="AS166" s="647"/>
      <c r="AT166" s="647"/>
      <c r="AU166" s="647"/>
      <c r="AV166" s="647"/>
      <c r="AW166" s="688">
        <v>0</v>
      </c>
      <c r="AX166" s="652">
        <v>0</v>
      </c>
      <c r="AY166" s="652">
        <v>0</v>
      </c>
      <c r="AZ166" s="667"/>
      <c r="BA166" s="668"/>
      <c r="BB166" s="668"/>
      <c r="BC166" s="668"/>
      <c r="BD166" s="668"/>
      <c r="BE166" s="668"/>
      <c r="BF166" s="184"/>
      <c r="BG166" s="184">
        <v>0</v>
      </c>
      <c r="BH166" s="184">
        <v>854218</v>
      </c>
      <c r="BI166" s="181">
        <v>854218</v>
      </c>
      <c r="BJ166" s="181">
        <f t="shared" si="41"/>
        <v>854218</v>
      </c>
    </row>
    <row r="167" spans="1:62" ht="315" customHeight="1" thickBot="1" x14ac:dyDescent="0.25">
      <c r="A167" s="42">
        <v>164</v>
      </c>
      <c r="B167" s="2" t="s">
        <v>283</v>
      </c>
      <c r="C167" s="2" t="s">
        <v>899</v>
      </c>
      <c r="D167" s="2" t="s">
        <v>1020</v>
      </c>
      <c r="E167" s="2" t="s">
        <v>1235</v>
      </c>
      <c r="F167" s="2" t="s">
        <v>75</v>
      </c>
      <c r="G167" s="3" t="s">
        <v>928</v>
      </c>
      <c r="H167" s="636" t="s">
        <v>1498</v>
      </c>
      <c r="I167" s="728" t="s">
        <v>900</v>
      </c>
      <c r="J167" s="209" t="s">
        <v>992</v>
      </c>
      <c r="K167" s="209" t="s">
        <v>344</v>
      </c>
      <c r="L167" s="209" t="s">
        <v>209</v>
      </c>
      <c r="M167" s="231" t="s">
        <v>372</v>
      </c>
      <c r="N167" s="232" t="s">
        <v>929</v>
      </c>
      <c r="O167" s="231" t="s">
        <v>930</v>
      </c>
      <c r="P167" s="156" t="s">
        <v>28</v>
      </c>
      <c r="Q167" s="156" t="s">
        <v>931</v>
      </c>
      <c r="R167" s="156">
        <v>4082</v>
      </c>
      <c r="S167" s="737">
        <v>11250</v>
      </c>
      <c r="T167" s="737">
        <v>4082</v>
      </c>
      <c r="U167" s="737">
        <v>11250</v>
      </c>
      <c r="V167" s="737">
        <v>4082</v>
      </c>
      <c r="W167" s="737">
        <v>11250</v>
      </c>
      <c r="X167" s="6">
        <f t="shared" ref="X167:X175" si="44">SUM(T167,V167)</f>
        <v>8164</v>
      </c>
      <c r="Y167" s="6">
        <f t="shared" ref="Y167:Y175" si="45">S167+U167</f>
        <v>22500</v>
      </c>
      <c r="Z167" s="12">
        <f t="shared" ref="Z167:Z175" si="46">SUM(S167,U167,W167)</f>
        <v>33750</v>
      </c>
      <c r="AA167" s="815">
        <v>0.89999999999999991</v>
      </c>
      <c r="AB167" s="815">
        <v>1</v>
      </c>
      <c r="AC167" s="836">
        <f t="shared" ref="AC167:AC175" si="47">AA167*T167</f>
        <v>3673.7999999999997</v>
      </c>
      <c r="AD167" s="836">
        <f t="shared" ref="AD167:AD173" si="48">AB167*T167</f>
        <v>4082</v>
      </c>
      <c r="AE167" s="815">
        <v>0.89999999999999991</v>
      </c>
      <c r="AF167" s="815">
        <v>1</v>
      </c>
      <c r="AG167" s="836">
        <f t="shared" ref="AG167:AG175" si="49">AE167*V167</f>
        <v>3673.7999999999997</v>
      </c>
      <c r="AH167" s="836">
        <f t="shared" ref="AH167:AH174" si="50">AF167*V167</f>
        <v>4082</v>
      </c>
      <c r="AI167" s="794">
        <f t="shared" ref="AI167:AI175" si="51">SUM(AC167,AG167)</f>
        <v>7347.5999999999995</v>
      </c>
      <c r="AJ167" s="794">
        <f t="shared" ref="AJ167:AJ175" si="52">SUM(AD167,AH167)</f>
        <v>8164</v>
      </c>
      <c r="AK167" s="663">
        <v>15435419</v>
      </c>
      <c r="AL167" s="750">
        <v>3678012</v>
      </c>
      <c r="AM167" s="756">
        <f t="shared" si="43"/>
        <v>19113431</v>
      </c>
      <c r="AN167" s="224">
        <v>503521</v>
      </c>
      <c r="AO167" s="625">
        <v>503521</v>
      </c>
      <c r="AP167" s="765">
        <v>0</v>
      </c>
      <c r="AQ167" s="638">
        <v>3774956</v>
      </c>
      <c r="AR167" s="638">
        <v>4118274</v>
      </c>
      <c r="AS167" s="638">
        <v>4130246</v>
      </c>
      <c r="AT167" s="638">
        <v>3411943</v>
      </c>
      <c r="AU167" s="638">
        <v>434396</v>
      </c>
      <c r="AV167" s="638">
        <v>503521.67</v>
      </c>
      <c r="AW167" s="786">
        <v>673315</v>
      </c>
      <c r="AX167" s="720">
        <v>639649</v>
      </c>
      <c r="AY167" s="720">
        <v>33666</v>
      </c>
      <c r="AZ167" s="640">
        <v>1932117.8199999998</v>
      </c>
      <c r="BA167" s="668"/>
      <c r="BB167" s="668"/>
      <c r="BC167" s="668"/>
      <c r="BD167" s="668"/>
      <c r="BE167" s="668"/>
      <c r="BF167" s="182"/>
      <c r="BG167" s="182">
        <v>0</v>
      </c>
      <c r="BH167" s="182">
        <f>335681+(83920*2)</f>
        <v>503521</v>
      </c>
      <c r="BI167" s="11">
        <f>335681+(83920*2)</f>
        <v>503521</v>
      </c>
      <c r="BJ167" s="181">
        <f t="shared" si="41"/>
        <v>503521</v>
      </c>
    </row>
    <row r="168" spans="1:62" ht="120.75" thickBot="1" x14ac:dyDescent="0.25">
      <c r="A168" s="41">
        <v>165</v>
      </c>
      <c r="B168" s="2" t="s">
        <v>321</v>
      </c>
      <c r="C168" s="2" t="s">
        <v>901</v>
      </c>
      <c r="D168" s="2" t="s">
        <v>1020</v>
      </c>
      <c r="E168" s="2" t="s">
        <v>1235</v>
      </c>
      <c r="F168" s="2" t="s">
        <v>75</v>
      </c>
      <c r="G168" s="3" t="s">
        <v>932</v>
      </c>
      <c r="H168" s="636" t="s">
        <v>1462</v>
      </c>
      <c r="I168" s="728" t="s">
        <v>902</v>
      </c>
      <c r="J168" s="156" t="s">
        <v>1003</v>
      </c>
      <c r="K168" s="209" t="s">
        <v>411</v>
      </c>
      <c r="L168" s="209" t="s">
        <v>10</v>
      </c>
      <c r="M168" s="231">
        <v>1408</v>
      </c>
      <c r="N168" s="232">
        <v>644</v>
      </c>
      <c r="O168" s="233">
        <v>0.45738600000000001</v>
      </c>
      <c r="P168" s="156" t="s">
        <v>28</v>
      </c>
      <c r="Q168" s="156" t="s">
        <v>933</v>
      </c>
      <c r="R168" s="156">
        <v>0</v>
      </c>
      <c r="S168" s="156">
        <v>94</v>
      </c>
      <c r="T168" s="156">
        <v>0</v>
      </c>
      <c r="U168" s="156">
        <v>94</v>
      </c>
      <c r="V168" s="156">
        <v>0</v>
      </c>
      <c r="W168" s="156">
        <v>94</v>
      </c>
      <c r="X168" s="6">
        <f t="shared" si="44"/>
        <v>0</v>
      </c>
      <c r="Y168" s="6">
        <f t="shared" si="45"/>
        <v>188</v>
      </c>
      <c r="Z168" s="12">
        <f t="shared" si="46"/>
        <v>282</v>
      </c>
      <c r="AA168" s="815">
        <v>1</v>
      </c>
      <c r="AB168" s="815">
        <v>0.94339622641509502</v>
      </c>
      <c r="AC168" s="836">
        <f t="shared" si="47"/>
        <v>0</v>
      </c>
      <c r="AD168" s="836">
        <f t="shared" si="48"/>
        <v>0</v>
      </c>
      <c r="AE168" s="815">
        <v>1</v>
      </c>
      <c r="AF168" s="815">
        <v>1</v>
      </c>
      <c r="AG168" s="836">
        <f t="shared" si="49"/>
        <v>0</v>
      </c>
      <c r="AH168" s="836">
        <f t="shared" si="50"/>
        <v>0</v>
      </c>
      <c r="AI168" s="794">
        <f t="shared" si="51"/>
        <v>0</v>
      </c>
      <c r="AJ168" s="794">
        <f t="shared" si="52"/>
        <v>0</v>
      </c>
      <c r="AK168" s="663">
        <v>2595969</v>
      </c>
      <c r="AL168" s="750">
        <v>342523</v>
      </c>
      <c r="AM168" s="756">
        <f t="shared" si="43"/>
        <v>2938492</v>
      </c>
      <c r="AN168" s="652">
        <v>65480</v>
      </c>
      <c r="AO168" s="715">
        <v>65480</v>
      </c>
      <c r="AP168" s="651">
        <v>0</v>
      </c>
      <c r="AQ168" s="638">
        <v>609295</v>
      </c>
      <c r="AR168" s="638">
        <v>624513</v>
      </c>
      <c r="AS168" s="638">
        <v>693397</v>
      </c>
      <c r="AT168" s="638">
        <v>668764</v>
      </c>
      <c r="AU168" s="638">
        <v>32082</v>
      </c>
      <c r="AV168" s="638">
        <v>65480.25</v>
      </c>
      <c r="AW168" s="786">
        <v>75462</v>
      </c>
      <c r="AX168" s="720">
        <v>37731</v>
      </c>
      <c r="AY168" s="720">
        <v>37713</v>
      </c>
      <c r="AZ168" s="640">
        <v>169499.4</v>
      </c>
      <c r="BA168" s="668"/>
      <c r="BB168" s="668"/>
      <c r="BC168" s="668"/>
      <c r="BD168" s="668"/>
      <c r="BE168" s="668"/>
      <c r="BF168" s="184"/>
      <c r="BG168" s="184">
        <v>0</v>
      </c>
      <c r="BH168" s="184">
        <v>65480</v>
      </c>
      <c r="BI168" s="11">
        <f>65480</f>
        <v>65480</v>
      </c>
      <c r="BJ168" s="181">
        <f t="shared" si="41"/>
        <v>65480</v>
      </c>
    </row>
    <row r="169" spans="1:62" ht="165.75" thickBot="1" x14ac:dyDescent="0.25">
      <c r="A169" s="41">
        <v>166</v>
      </c>
      <c r="B169" s="16" t="s">
        <v>79</v>
      </c>
      <c r="C169" s="16" t="s">
        <v>938</v>
      </c>
      <c r="D169" s="16" t="s">
        <v>1030</v>
      </c>
      <c r="E169" s="16" t="s">
        <v>1245</v>
      </c>
      <c r="F169" s="16" t="s">
        <v>1031</v>
      </c>
      <c r="G169" s="4" t="s">
        <v>959</v>
      </c>
      <c r="H169" s="613" t="s">
        <v>1499</v>
      </c>
      <c r="I169" s="16" t="s">
        <v>939</v>
      </c>
      <c r="J169" s="16" t="s">
        <v>1003</v>
      </c>
      <c r="K169" s="16" t="s">
        <v>940</v>
      </c>
      <c r="L169" s="16" t="s">
        <v>10</v>
      </c>
      <c r="M169" s="45">
        <v>519</v>
      </c>
      <c r="N169" s="46">
        <v>55</v>
      </c>
      <c r="O169" s="51">
        <v>0.105973</v>
      </c>
      <c r="P169" s="12" t="s">
        <v>189</v>
      </c>
      <c r="Q169" s="16" t="s">
        <v>960</v>
      </c>
      <c r="R169" s="16">
        <v>0</v>
      </c>
      <c r="S169" s="12">
        <v>2700</v>
      </c>
      <c r="T169" s="12">
        <v>0</v>
      </c>
      <c r="U169" s="12">
        <v>2700</v>
      </c>
      <c r="V169" s="12">
        <v>0</v>
      </c>
      <c r="W169" s="12">
        <v>2700</v>
      </c>
      <c r="X169" s="6">
        <f t="shared" si="44"/>
        <v>0</v>
      </c>
      <c r="Y169" s="6">
        <f t="shared" si="45"/>
        <v>5400</v>
      </c>
      <c r="Z169" s="12">
        <f t="shared" si="46"/>
        <v>8100</v>
      </c>
      <c r="AA169" s="811">
        <v>0.23</v>
      </c>
      <c r="AB169" s="811">
        <v>0.13</v>
      </c>
      <c r="AC169" s="836">
        <f t="shared" si="47"/>
        <v>0</v>
      </c>
      <c r="AD169" s="836">
        <f t="shared" si="48"/>
        <v>0</v>
      </c>
      <c r="AE169" s="811">
        <v>0.23</v>
      </c>
      <c r="AF169" s="811">
        <v>0.2777</v>
      </c>
      <c r="AG169" s="836">
        <f t="shared" si="49"/>
        <v>0</v>
      </c>
      <c r="AH169" s="836">
        <f t="shared" si="50"/>
        <v>0</v>
      </c>
      <c r="AI169" s="794">
        <f t="shared" si="51"/>
        <v>0</v>
      </c>
      <c r="AJ169" s="794">
        <f t="shared" si="52"/>
        <v>0</v>
      </c>
      <c r="AK169" s="60">
        <v>7987518.5999999996</v>
      </c>
      <c r="AL169" s="127">
        <v>3306323.3299999996</v>
      </c>
      <c r="AM169" s="127">
        <f t="shared" si="43"/>
        <v>11293841.93</v>
      </c>
      <c r="AN169" s="127">
        <v>760550</v>
      </c>
      <c r="AO169" s="77">
        <v>760550</v>
      </c>
      <c r="AP169" s="171">
        <v>0</v>
      </c>
      <c r="AQ169" s="614">
        <v>1819906</v>
      </c>
      <c r="AR169" s="614">
        <v>1902715.5</v>
      </c>
      <c r="AS169" s="614">
        <v>2134627</v>
      </c>
      <c r="AT169" s="614">
        <v>2130270.1</v>
      </c>
      <c r="AU169" s="614">
        <v>95785</v>
      </c>
      <c r="AV169" s="614">
        <v>760550.04</v>
      </c>
      <c r="AW169" s="779">
        <v>786226.59</v>
      </c>
      <c r="AX169" s="776">
        <v>393113</v>
      </c>
      <c r="AY169" s="776">
        <v>393113</v>
      </c>
      <c r="AZ169" s="615">
        <v>1663761.3299999996</v>
      </c>
      <c r="BA169" s="668"/>
      <c r="BB169" s="668"/>
      <c r="BC169" s="668"/>
      <c r="BD169" s="668"/>
      <c r="BE169" s="668"/>
      <c r="BF169" s="184"/>
      <c r="BG169" s="184">
        <v>0</v>
      </c>
      <c r="BH169" s="184">
        <v>760550</v>
      </c>
      <c r="BI169" s="181">
        <v>760550</v>
      </c>
      <c r="BJ169" s="181">
        <f t="shared" si="41"/>
        <v>760550</v>
      </c>
    </row>
    <row r="170" spans="1:62" ht="75.599999999999994" customHeight="1" thickBot="1" x14ac:dyDescent="0.25">
      <c r="A170" s="41">
        <v>167</v>
      </c>
      <c r="B170" s="16" t="s">
        <v>351</v>
      </c>
      <c r="C170" s="16" t="s">
        <v>941</v>
      </c>
      <c r="D170" s="16" t="s">
        <v>1030</v>
      </c>
      <c r="E170" s="16" t="s">
        <v>1243</v>
      </c>
      <c r="F170" s="16" t="s">
        <v>1031</v>
      </c>
      <c r="G170" s="12" t="s">
        <v>961</v>
      </c>
      <c r="H170" s="613" t="s">
        <v>1500</v>
      </c>
      <c r="I170" s="16" t="s">
        <v>942</v>
      </c>
      <c r="J170" s="16" t="s">
        <v>998</v>
      </c>
      <c r="K170" s="16" t="s">
        <v>943</v>
      </c>
      <c r="L170" s="16" t="s">
        <v>10</v>
      </c>
      <c r="M170" s="45">
        <v>281</v>
      </c>
      <c r="N170" s="46">
        <v>187</v>
      </c>
      <c r="O170" s="51">
        <v>0.66547999999999996</v>
      </c>
      <c r="P170" s="12" t="s">
        <v>189</v>
      </c>
      <c r="Q170" s="16" t="s">
        <v>962</v>
      </c>
      <c r="R170" s="16">
        <v>0</v>
      </c>
      <c r="S170" s="52">
        <v>3660</v>
      </c>
      <c r="T170" s="52">
        <v>0</v>
      </c>
      <c r="U170" s="52">
        <v>3660</v>
      </c>
      <c r="V170" s="52">
        <v>0</v>
      </c>
      <c r="W170" s="12">
        <v>3660</v>
      </c>
      <c r="X170" s="6">
        <f t="shared" si="44"/>
        <v>0</v>
      </c>
      <c r="Y170" s="6">
        <f t="shared" si="45"/>
        <v>7320</v>
      </c>
      <c r="Z170" s="12">
        <f t="shared" si="46"/>
        <v>10980</v>
      </c>
      <c r="AA170" s="811">
        <v>0</v>
      </c>
      <c r="AB170" s="811" t="s">
        <v>1553</v>
      </c>
      <c r="AC170" s="836">
        <f t="shared" si="47"/>
        <v>0</v>
      </c>
      <c r="AD170" s="836" t="e">
        <f t="shared" si="48"/>
        <v>#VALUE!</v>
      </c>
      <c r="AE170" s="811">
        <v>0.33</v>
      </c>
      <c r="AF170" s="811">
        <v>0.37690000000000001</v>
      </c>
      <c r="AG170" s="836">
        <f t="shared" si="49"/>
        <v>0</v>
      </c>
      <c r="AH170" s="836">
        <f t="shared" si="50"/>
        <v>0</v>
      </c>
      <c r="AI170" s="794">
        <f t="shared" si="51"/>
        <v>0</v>
      </c>
      <c r="AJ170" s="794">
        <v>0</v>
      </c>
      <c r="AK170" s="65">
        <v>2755218.9186581988</v>
      </c>
      <c r="AL170" s="123">
        <v>875545</v>
      </c>
      <c r="AM170" s="127">
        <f t="shared" si="43"/>
        <v>3630763.9186581988</v>
      </c>
      <c r="AN170" s="77">
        <v>148204</v>
      </c>
      <c r="AO170" s="77">
        <v>148204</v>
      </c>
      <c r="AP170" s="171">
        <v>0</v>
      </c>
      <c r="AQ170" s="614">
        <v>673828.84059856099</v>
      </c>
      <c r="AR170" s="614">
        <v>735111.07</v>
      </c>
      <c r="AS170" s="614">
        <v>737248.03</v>
      </c>
      <c r="AT170" s="614">
        <v>609030.98</v>
      </c>
      <c r="AU170" s="614">
        <v>52849</v>
      </c>
      <c r="AV170" s="614">
        <v>148204.26500000825</v>
      </c>
      <c r="AW170" s="779">
        <v>215374.59590624776</v>
      </c>
      <c r="AX170" s="776">
        <v>215375</v>
      </c>
      <c r="AY170" s="776">
        <v>0</v>
      </c>
      <c r="AZ170" s="615">
        <v>459116.57086624653</v>
      </c>
      <c r="BA170" s="668"/>
      <c r="BB170" s="668"/>
      <c r="BC170" s="668"/>
      <c r="BD170" s="668"/>
      <c r="BE170" s="668"/>
      <c r="BF170" s="184"/>
      <c r="BG170" s="184">
        <v>0</v>
      </c>
      <c r="BH170" s="184">
        <v>148204</v>
      </c>
      <c r="BI170" s="181">
        <v>148204</v>
      </c>
      <c r="BJ170" s="181">
        <f t="shared" si="41"/>
        <v>148204</v>
      </c>
    </row>
    <row r="171" spans="1:62" ht="135.75" thickBot="1" x14ac:dyDescent="0.25">
      <c r="A171" s="42">
        <v>168</v>
      </c>
      <c r="B171" s="16" t="s">
        <v>944</v>
      </c>
      <c r="C171" s="16" t="s">
        <v>945</v>
      </c>
      <c r="D171" s="16" t="s">
        <v>1030</v>
      </c>
      <c r="E171" s="16" t="s">
        <v>1243</v>
      </c>
      <c r="F171" s="16" t="s">
        <v>1031</v>
      </c>
      <c r="G171" s="12" t="s">
        <v>963</v>
      </c>
      <c r="H171" s="613" t="s">
        <v>1501</v>
      </c>
      <c r="I171" s="16" t="s">
        <v>946</v>
      </c>
      <c r="J171" s="16" t="s">
        <v>998</v>
      </c>
      <c r="K171" s="16" t="s">
        <v>947</v>
      </c>
      <c r="L171" s="16" t="s">
        <v>10</v>
      </c>
      <c r="M171" s="45">
        <v>18</v>
      </c>
      <c r="N171" s="46">
        <v>11.998799999999999</v>
      </c>
      <c r="O171" s="51">
        <v>0.66659999999999997</v>
      </c>
      <c r="P171" s="12" t="s">
        <v>189</v>
      </c>
      <c r="Q171" s="16" t="s">
        <v>964</v>
      </c>
      <c r="R171" s="16">
        <v>153</v>
      </c>
      <c r="S171" s="27">
        <v>707</v>
      </c>
      <c r="T171" s="27">
        <v>153</v>
      </c>
      <c r="U171" s="12">
        <v>707</v>
      </c>
      <c r="V171" s="12">
        <v>153</v>
      </c>
      <c r="W171" s="12">
        <v>707</v>
      </c>
      <c r="X171" s="6">
        <f t="shared" si="44"/>
        <v>306</v>
      </c>
      <c r="Y171" s="6">
        <f t="shared" si="45"/>
        <v>1414</v>
      </c>
      <c r="Z171" s="12">
        <f t="shared" si="46"/>
        <v>2121</v>
      </c>
      <c r="AA171" s="811">
        <v>0.22</v>
      </c>
      <c r="AB171" s="811">
        <v>0.22689999999999999</v>
      </c>
      <c r="AC171" s="836">
        <f t="shared" si="47"/>
        <v>33.660000000000004</v>
      </c>
      <c r="AD171" s="836">
        <f t="shared" si="48"/>
        <v>34.715699999999998</v>
      </c>
      <c r="AE171" s="811">
        <v>0.22</v>
      </c>
      <c r="AF171" s="811">
        <v>0.24199999999999999</v>
      </c>
      <c r="AG171" s="836">
        <f t="shared" si="49"/>
        <v>33.660000000000004</v>
      </c>
      <c r="AH171" s="836">
        <f t="shared" si="50"/>
        <v>37.025999999999996</v>
      </c>
      <c r="AI171" s="794">
        <f t="shared" si="51"/>
        <v>67.320000000000007</v>
      </c>
      <c r="AJ171" s="794">
        <f t="shared" si="52"/>
        <v>71.741699999999994</v>
      </c>
      <c r="AK171" s="65">
        <v>733677</v>
      </c>
      <c r="AL171" s="123">
        <v>178735</v>
      </c>
      <c r="AM171" s="127">
        <f t="shared" si="43"/>
        <v>912412</v>
      </c>
      <c r="AN171" s="123">
        <v>24468</v>
      </c>
      <c r="AO171" s="77">
        <v>24468</v>
      </c>
      <c r="AP171" s="171">
        <v>0</v>
      </c>
      <c r="AQ171" s="614">
        <v>179431</v>
      </c>
      <c r="AR171" s="614">
        <v>195750</v>
      </c>
      <c r="AS171" s="614">
        <v>196319</v>
      </c>
      <c r="AT171" s="614">
        <v>162177</v>
      </c>
      <c r="AU171" s="614">
        <v>21109.58</v>
      </c>
      <c r="AV171" s="614">
        <v>24468.76</v>
      </c>
      <c r="AW171" s="779">
        <v>58896</v>
      </c>
      <c r="AX171" s="776">
        <v>39264</v>
      </c>
      <c r="AY171" s="776">
        <v>0</v>
      </c>
      <c r="AZ171" s="615">
        <v>93892</v>
      </c>
      <c r="BA171" s="668"/>
      <c r="BB171" s="668"/>
      <c r="BC171" s="668"/>
      <c r="BD171" s="668"/>
      <c r="BE171" s="668"/>
      <c r="BF171" s="184"/>
      <c r="BG171" s="184">
        <v>0</v>
      </c>
      <c r="BH171" s="184">
        <v>24468</v>
      </c>
      <c r="BI171" s="181">
        <v>24468</v>
      </c>
      <c r="BJ171" s="181">
        <f t="shared" si="41"/>
        <v>24468</v>
      </c>
    </row>
    <row r="172" spans="1:62" ht="105.75" thickBot="1" x14ac:dyDescent="0.25">
      <c r="A172" s="41">
        <v>169</v>
      </c>
      <c r="B172" s="2" t="s">
        <v>266</v>
      </c>
      <c r="C172" s="2" t="s">
        <v>948</v>
      </c>
      <c r="D172" s="16" t="s">
        <v>1030</v>
      </c>
      <c r="E172" s="16" t="s">
        <v>1245</v>
      </c>
      <c r="F172" s="16" t="s">
        <v>1031</v>
      </c>
      <c r="G172" s="3" t="s">
        <v>965</v>
      </c>
      <c r="H172" s="613" t="s">
        <v>1502</v>
      </c>
      <c r="I172" s="2" t="s">
        <v>949</v>
      </c>
      <c r="J172" s="16" t="s">
        <v>995</v>
      </c>
      <c r="K172" s="2" t="s">
        <v>355</v>
      </c>
      <c r="L172" s="16" t="s">
        <v>10</v>
      </c>
      <c r="M172" s="45">
        <v>9.5</v>
      </c>
      <c r="N172" s="46">
        <v>11.9</v>
      </c>
      <c r="O172" s="51">
        <v>1.252632</v>
      </c>
      <c r="P172" s="3" t="s">
        <v>189</v>
      </c>
      <c r="Q172" s="2" t="s">
        <v>966</v>
      </c>
      <c r="R172" s="2">
        <v>0</v>
      </c>
      <c r="S172" s="3">
        <v>0</v>
      </c>
      <c r="T172" s="3">
        <v>0</v>
      </c>
      <c r="U172" s="3">
        <v>1000</v>
      </c>
      <c r="V172" s="3">
        <v>2293</v>
      </c>
      <c r="W172" s="3">
        <v>1000</v>
      </c>
      <c r="X172" s="6">
        <f t="shared" si="44"/>
        <v>2293</v>
      </c>
      <c r="Y172" s="6">
        <f t="shared" si="45"/>
        <v>1000</v>
      </c>
      <c r="Z172" s="12">
        <f t="shared" si="46"/>
        <v>2000</v>
      </c>
      <c r="AA172" s="811">
        <v>0</v>
      </c>
      <c r="AB172" s="811" t="s">
        <v>1553</v>
      </c>
      <c r="AC172" s="836">
        <f t="shared" si="47"/>
        <v>0</v>
      </c>
      <c r="AD172" s="836">
        <v>0</v>
      </c>
      <c r="AE172" s="811">
        <v>0.72</v>
      </c>
      <c r="AF172" s="811">
        <v>0.61050000000000004</v>
      </c>
      <c r="AG172" s="836">
        <f t="shared" si="49"/>
        <v>1650.96</v>
      </c>
      <c r="AH172" s="836">
        <f t="shared" si="50"/>
        <v>1399.8765000000001</v>
      </c>
      <c r="AI172" s="794">
        <f t="shared" si="51"/>
        <v>1650.96</v>
      </c>
      <c r="AJ172" s="794">
        <f t="shared" si="52"/>
        <v>1399.8765000000001</v>
      </c>
      <c r="AK172" s="60">
        <v>27001727</v>
      </c>
      <c r="AL172" s="127">
        <v>7810265</v>
      </c>
      <c r="AM172" s="127">
        <f t="shared" si="43"/>
        <v>34811992</v>
      </c>
      <c r="AN172" s="77">
        <v>1048359</v>
      </c>
      <c r="AO172" s="77">
        <v>1048359</v>
      </c>
      <c r="AP172" s="171">
        <v>0</v>
      </c>
      <c r="AQ172" s="614">
        <v>8942808</v>
      </c>
      <c r="AR172" s="614">
        <v>9756123</v>
      </c>
      <c r="AS172" s="614">
        <v>4546769</v>
      </c>
      <c r="AT172" s="614">
        <v>3756027</v>
      </c>
      <c r="AU172" s="614">
        <v>1052095</v>
      </c>
      <c r="AV172" s="614">
        <v>1048359.2069520002</v>
      </c>
      <c r="AW172" s="779">
        <v>1685989.7758440003</v>
      </c>
      <c r="AX172" s="776">
        <v>842995</v>
      </c>
      <c r="AY172" s="776">
        <v>842995</v>
      </c>
      <c r="AZ172" s="615">
        <v>4023821.4591239998</v>
      </c>
      <c r="BA172" s="668"/>
      <c r="BB172" s="668"/>
      <c r="BC172" s="668"/>
      <c r="BD172" s="668"/>
      <c r="BE172" s="668"/>
      <c r="BF172" s="184"/>
      <c r="BG172" s="184">
        <v>0</v>
      </c>
      <c r="BH172" s="184">
        <v>1048359</v>
      </c>
      <c r="BI172" s="181">
        <v>1048359</v>
      </c>
      <c r="BJ172" s="181">
        <f t="shared" si="41"/>
        <v>1048359</v>
      </c>
    </row>
    <row r="173" spans="1:62" ht="105.6" customHeight="1" thickBot="1" x14ac:dyDescent="0.25">
      <c r="A173" s="41">
        <v>170</v>
      </c>
      <c r="B173" s="16" t="s">
        <v>266</v>
      </c>
      <c r="C173" s="16" t="s">
        <v>950</v>
      </c>
      <c r="D173" s="16" t="s">
        <v>1030</v>
      </c>
      <c r="E173" s="16" t="s">
        <v>1246</v>
      </c>
      <c r="F173" s="16" t="s">
        <v>952</v>
      </c>
      <c r="G173" s="12" t="s">
        <v>1393</v>
      </c>
      <c r="H173" s="613" t="s">
        <v>1503</v>
      </c>
      <c r="I173" s="16" t="s">
        <v>951</v>
      </c>
      <c r="J173" s="16" t="s">
        <v>1017</v>
      </c>
      <c r="K173" s="16" t="s">
        <v>953</v>
      </c>
      <c r="L173" s="16" t="s">
        <v>10</v>
      </c>
      <c r="M173" s="45">
        <v>1</v>
      </c>
      <c r="N173" s="46">
        <v>11.41</v>
      </c>
      <c r="O173" s="51">
        <v>11.41</v>
      </c>
      <c r="P173" s="12" t="s">
        <v>189</v>
      </c>
      <c r="Q173" s="16" t="s">
        <v>967</v>
      </c>
      <c r="R173" s="16">
        <v>0</v>
      </c>
      <c r="S173" s="27">
        <v>31916</v>
      </c>
      <c r="T173" s="27">
        <v>62740</v>
      </c>
      <c r="U173" s="27">
        <v>48077</v>
      </c>
      <c r="V173" s="27">
        <v>130809</v>
      </c>
      <c r="W173" s="27">
        <v>71533</v>
      </c>
      <c r="X173" s="6">
        <f t="shared" si="44"/>
        <v>193549</v>
      </c>
      <c r="Y173" s="6">
        <f t="shared" si="45"/>
        <v>79993</v>
      </c>
      <c r="Z173" s="12">
        <f t="shared" si="46"/>
        <v>151526</v>
      </c>
      <c r="AA173" s="811">
        <v>0.72</v>
      </c>
      <c r="AB173" s="811">
        <v>0.81090000000000007</v>
      </c>
      <c r="AC173" s="836">
        <f t="shared" si="47"/>
        <v>45172.799999999996</v>
      </c>
      <c r="AD173" s="836">
        <f t="shared" si="48"/>
        <v>50875.866000000002</v>
      </c>
      <c r="AE173" s="811">
        <v>0.72</v>
      </c>
      <c r="AF173" s="811">
        <v>0.79500000000000004</v>
      </c>
      <c r="AG173" s="836">
        <f t="shared" si="49"/>
        <v>94182.48</v>
      </c>
      <c r="AH173" s="836">
        <f t="shared" si="50"/>
        <v>103993.155</v>
      </c>
      <c r="AI173" s="794">
        <f t="shared" si="51"/>
        <v>139355.28</v>
      </c>
      <c r="AJ173" s="794">
        <f t="shared" si="52"/>
        <v>154869.02100000001</v>
      </c>
      <c r="AK173" s="128">
        <v>28038880</v>
      </c>
      <c r="AL173" s="127">
        <v>6939157</v>
      </c>
      <c r="AM173" s="127">
        <f t="shared" si="43"/>
        <v>34978037</v>
      </c>
      <c r="AN173" s="77">
        <v>951289</v>
      </c>
      <c r="AO173" s="77">
        <v>951289</v>
      </c>
      <c r="AP173" s="171">
        <v>0</v>
      </c>
      <c r="AQ173" s="614">
        <v>6857316</v>
      </c>
      <c r="AR173" s="614">
        <v>7480963</v>
      </c>
      <c r="AS173" s="614">
        <v>7502710</v>
      </c>
      <c r="AT173" s="614">
        <v>6197891</v>
      </c>
      <c r="AU173" s="614">
        <v>806743</v>
      </c>
      <c r="AV173" s="614">
        <v>951288.91001200024</v>
      </c>
      <c r="AW173" s="779">
        <v>1529879.6114140002</v>
      </c>
      <c r="AX173" s="776">
        <v>1529880</v>
      </c>
      <c r="AY173" s="776">
        <v>0</v>
      </c>
      <c r="AZ173" s="615">
        <v>3651245.3980940003</v>
      </c>
      <c r="BA173" s="668"/>
      <c r="BB173" s="668"/>
      <c r="BC173" s="668"/>
      <c r="BD173" s="668"/>
      <c r="BE173" s="668"/>
      <c r="BF173" s="184"/>
      <c r="BG173" s="184">
        <v>0</v>
      </c>
      <c r="BH173" s="184">
        <v>951289</v>
      </c>
      <c r="BI173" s="181">
        <v>951289</v>
      </c>
      <c r="BJ173" s="181">
        <f t="shared" si="41"/>
        <v>951289</v>
      </c>
    </row>
    <row r="174" spans="1:62" ht="167.1" customHeight="1" thickBot="1" x14ac:dyDescent="0.25">
      <c r="A174" s="42">
        <v>171</v>
      </c>
      <c r="B174" s="16" t="s">
        <v>288</v>
      </c>
      <c r="C174" s="16" t="s">
        <v>954</v>
      </c>
      <c r="D174" s="16" t="s">
        <v>1030</v>
      </c>
      <c r="E174" s="16" t="s">
        <v>1246</v>
      </c>
      <c r="F174" s="16" t="s">
        <v>952</v>
      </c>
      <c r="G174" s="12" t="s">
        <v>968</v>
      </c>
      <c r="H174" s="613" t="s">
        <v>1504</v>
      </c>
      <c r="I174" s="16" t="s">
        <v>955</v>
      </c>
      <c r="J174" s="2" t="s">
        <v>999</v>
      </c>
      <c r="K174" s="16" t="s">
        <v>1154</v>
      </c>
      <c r="L174" s="16" t="s">
        <v>63</v>
      </c>
      <c r="M174" s="45" t="s">
        <v>969</v>
      </c>
      <c r="N174" s="46" t="s">
        <v>970</v>
      </c>
      <c r="O174" s="51" t="s">
        <v>971</v>
      </c>
      <c r="P174" s="12" t="s">
        <v>111</v>
      </c>
      <c r="Q174" s="16" t="s">
        <v>972</v>
      </c>
      <c r="R174" s="16">
        <v>0</v>
      </c>
      <c r="S174" s="739">
        <v>7600</v>
      </c>
      <c r="T174" s="739">
        <v>0</v>
      </c>
      <c r="U174" s="27">
        <v>7600</v>
      </c>
      <c r="V174" s="27">
        <v>0</v>
      </c>
      <c r="W174" s="27">
        <v>7600</v>
      </c>
      <c r="X174" s="6">
        <f t="shared" si="44"/>
        <v>0</v>
      </c>
      <c r="Y174" s="6">
        <f t="shared" si="45"/>
        <v>15200</v>
      </c>
      <c r="Z174" s="12">
        <f t="shared" si="46"/>
        <v>22800</v>
      </c>
      <c r="AA174" s="811">
        <v>0</v>
      </c>
      <c r="AB174" s="811" t="s">
        <v>1553</v>
      </c>
      <c r="AC174" s="836">
        <f t="shared" si="47"/>
        <v>0</v>
      </c>
      <c r="AD174" s="836">
        <v>0</v>
      </c>
      <c r="AE174" s="811">
        <v>0.29459999999999997</v>
      </c>
      <c r="AF174" s="811">
        <v>0.49199999999999999</v>
      </c>
      <c r="AG174" s="836">
        <f t="shared" si="49"/>
        <v>0</v>
      </c>
      <c r="AH174" s="836">
        <f t="shared" si="50"/>
        <v>0</v>
      </c>
      <c r="AI174" s="794">
        <f t="shared" si="51"/>
        <v>0</v>
      </c>
      <c r="AJ174" s="794">
        <f t="shared" si="52"/>
        <v>0</v>
      </c>
      <c r="AK174" s="60">
        <v>387300.07999999996</v>
      </c>
      <c r="AL174" s="127">
        <v>326222</v>
      </c>
      <c r="AM174" s="127">
        <f t="shared" si="43"/>
        <v>713522.08</v>
      </c>
      <c r="AN174" s="158">
        <v>49400</v>
      </c>
      <c r="AO174" s="158">
        <v>49400</v>
      </c>
      <c r="AP174" s="594">
        <v>0</v>
      </c>
      <c r="AQ174" s="614">
        <v>87444.9</v>
      </c>
      <c r="AR174" s="614">
        <v>103592.7</v>
      </c>
      <c r="AS174" s="614">
        <v>105873.45</v>
      </c>
      <c r="AT174" s="614">
        <v>90389.03</v>
      </c>
      <c r="AU174" s="614">
        <v>9716.1</v>
      </c>
      <c r="AV174" s="614">
        <v>49401.58</v>
      </c>
      <c r="AW174" s="779">
        <v>90515</v>
      </c>
      <c r="AX174" s="776">
        <v>70547</v>
      </c>
      <c r="AY174" s="776">
        <v>19966</v>
      </c>
      <c r="AZ174" s="615">
        <v>187238</v>
      </c>
      <c r="BA174" s="668"/>
      <c r="BB174" s="668"/>
      <c r="BC174" s="668"/>
      <c r="BD174" s="668"/>
      <c r="BE174" s="668"/>
      <c r="BF174" s="182"/>
      <c r="BG174" s="182">
        <v>0</v>
      </c>
      <c r="BH174" s="182">
        <f>24700*2</f>
        <v>49400</v>
      </c>
      <c r="BI174" s="179">
        <f>24700*2</f>
        <v>49400</v>
      </c>
      <c r="BJ174" s="181">
        <f t="shared" si="41"/>
        <v>49400</v>
      </c>
    </row>
    <row r="175" spans="1:62" ht="195.6" customHeight="1" thickBot="1" x14ac:dyDescent="0.25">
      <c r="A175" s="32">
        <v>172</v>
      </c>
      <c r="B175" s="2" t="s">
        <v>288</v>
      </c>
      <c r="C175" s="2" t="s">
        <v>956</v>
      </c>
      <c r="D175" s="2" t="s">
        <v>1030</v>
      </c>
      <c r="E175" s="2" t="s">
        <v>1243</v>
      </c>
      <c r="F175" s="2" t="s">
        <v>1031</v>
      </c>
      <c r="G175" s="3" t="s">
        <v>973</v>
      </c>
      <c r="H175" s="613" t="s">
        <v>1399</v>
      </c>
      <c r="I175" s="2" t="s">
        <v>957</v>
      </c>
      <c r="J175" s="2" t="s">
        <v>999</v>
      </c>
      <c r="K175" s="2" t="s">
        <v>958</v>
      </c>
      <c r="L175" s="2" t="s">
        <v>209</v>
      </c>
      <c r="M175" s="45" t="s">
        <v>974</v>
      </c>
      <c r="N175" s="46" t="s">
        <v>975</v>
      </c>
      <c r="O175" s="51" t="s">
        <v>1092</v>
      </c>
      <c r="P175" s="3" t="s">
        <v>111</v>
      </c>
      <c r="Q175" s="2" t="s">
        <v>976</v>
      </c>
      <c r="R175" s="2">
        <v>0</v>
      </c>
      <c r="S175" s="3">
        <v>0</v>
      </c>
      <c r="T175" s="3">
        <v>0</v>
      </c>
      <c r="U175" s="3">
        <v>0</v>
      </c>
      <c r="V175" s="3">
        <v>0</v>
      </c>
      <c r="W175" s="125">
        <v>19600</v>
      </c>
      <c r="X175" s="6">
        <f t="shared" si="44"/>
        <v>0</v>
      </c>
      <c r="Y175" s="6">
        <f t="shared" si="45"/>
        <v>0</v>
      </c>
      <c r="Z175" s="12">
        <f t="shared" si="46"/>
        <v>19600</v>
      </c>
      <c r="AA175" s="811">
        <v>0</v>
      </c>
      <c r="AB175" s="811" t="s">
        <v>1553</v>
      </c>
      <c r="AC175" s="836">
        <f t="shared" si="47"/>
        <v>0</v>
      </c>
      <c r="AD175" s="837">
        <v>0</v>
      </c>
      <c r="AE175" s="811">
        <v>0.29459999999999997</v>
      </c>
      <c r="AF175" s="811" t="s">
        <v>1553</v>
      </c>
      <c r="AG175" s="836">
        <f t="shared" si="49"/>
        <v>0</v>
      </c>
      <c r="AH175" s="836">
        <v>0</v>
      </c>
      <c r="AI175" s="794">
        <f t="shared" si="51"/>
        <v>0</v>
      </c>
      <c r="AJ175" s="794">
        <f t="shared" si="52"/>
        <v>0</v>
      </c>
      <c r="AK175" s="60">
        <v>634817</v>
      </c>
      <c r="AL175" s="127">
        <v>268916</v>
      </c>
      <c r="AM175" s="127">
        <f t="shared" si="43"/>
        <v>903733</v>
      </c>
      <c r="AN175" s="158">
        <v>39522</v>
      </c>
      <c r="AO175" s="158">
        <v>39522</v>
      </c>
      <c r="AP175" s="594">
        <v>0</v>
      </c>
      <c r="AQ175" s="614">
        <v>141388</v>
      </c>
      <c r="AR175" s="614">
        <v>169426</v>
      </c>
      <c r="AS175" s="614">
        <v>174860</v>
      </c>
      <c r="AT175" s="614">
        <v>149143</v>
      </c>
      <c r="AU175" s="614">
        <v>15710</v>
      </c>
      <c r="AV175" s="614">
        <v>39521.25</v>
      </c>
      <c r="AW175" s="779">
        <v>53245</v>
      </c>
      <c r="AX175" s="776">
        <v>53245</v>
      </c>
      <c r="AY175" s="776">
        <v>0</v>
      </c>
      <c r="AZ175" s="615">
        <v>149790.38999999998</v>
      </c>
      <c r="BA175" s="668"/>
      <c r="BB175" s="668"/>
      <c r="BC175" s="668"/>
      <c r="BD175" s="668"/>
      <c r="BE175" s="668"/>
      <c r="BF175" s="182"/>
      <c r="BG175" s="182">
        <v>0</v>
      </c>
      <c r="BH175" s="182">
        <f>13174*3</f>
        <v>39522</v>
      </c>
      <c r="BI175" s="179">
        <f>13174*3</f>
        <v>39522</v>
      </c>
      <c r="BJ175" s="181">
        <f t="shared" si="41"/>
        <v>39522</v>
      </c>
    </row>
    <row r="176" spans="1:62" x14ac:dyDescent="0.2">
      <c r="BH176" s="184">
        <f>SUM(BH2:BH175)</f>
        <v>53674048.07</v>
      </c>
      <c r="BI176" s="184">
        <f>SUM(BI2:BI175)</f>
        <v>58656522.07</v>
      </c>
      <c r="BJ176" s="243"/>
    </row>
    <row r="177" spans="9:51" x14ac:dyDescent="0.2">
      <c r="AN177" s="690">
        <f>SUM(AN2:AN175)</f>
        <v>53396501.996666662</v>
      </c>
      <c r="AO177" s="693">
        <f>SUM(AO2:AO175)</f>
        <v>57953800.640000001</v>
      </c>
      <c r="AP177" s="686">
        <f>SUM(AP2:AP175)</f>
        <v>4671439</v>
      </c>
      <c r="AW177" s="686">
        <f>SUM(AW2:AW175)</f>
        <v>79235319.423098192</v>
      </c>
      <c r="AX177" s="686">
        <f>SUM(AX2:AX175)</f>
        <v>60405774</v>
      </c>
      <c r="AY177" s="686">
        <f>SUM(AY2:AY175)</f>
        <v>19086621</v>
      </c>
    </row>
    <row r="180" spans="9:51" x14ac:dyDescent="0.2">
      <c r="AN180" s="683">
        <v>53279378</v>
      </c>
      <c r="AO180" s="692">
        <v>57953800.640000001</v>
      </c>
      <c r="AP180" s="686">
        <v>4671439</v>
      </c>
      <c r="AW180" s="686">
        <v>79235327.489999995</v>
      </c>
      <c r="AX180" s="686">
        <v>59965829</v>
      </c>
      <c r="AY180" s="686">
        <v>19086621</v>
      </c>
    </row>
    <row r="181" spans="9:51" x14ac:dyDescent="0.2">
      <c r="I181" s="683"/>
    </row>
    <row r="183" spans="9:51" x14ac:dyDescent="0.2">
      <c r="I183" s="689"/>
      <c r="AN183" s="683">
        <f>AN177-AN180</f>
        <v>117123.9966666624</v>
      </c>
      <c r="AO183" s="691" t="s">
        <v>1524</v>
      </c>
      <c r="AP183" s="691" t="s">
        <v>1524</v>
      </c>
      <c r="AW183" s="691" t="s">
        <v>1524</v>
      </c>
      <c r="AX183" s="686">
        <f>AX177-AX180</f>
        <v>439945</v>
      </c>
      <c r="AY183" s="691" t="s">
        <v>1524</v>
      </c>
    </row>
    <row r="184" spans="9:51" ht="33.6" customHeight="1" x14ac:dyDescent="0.2"/>
    <row r="185" spans="9:51" ht="94.5" customHeight="1" x14ac:dyDescent="0.2">
      <c r="AN185" s="694" t="s">
        <v>1525</v>
      </c>
      <c r="AW185" s="202" t="s">
        <v>1527</v>
      </c>
      <c r="AX185" s="695" t="s">
        <v>1526</v>
      </c>
    </row>
  </sheetData>
  <autoFilter ref="A1:AZ175">
    <filterColumn colId="40">
      <filters>
        <filter val="$1,048,359.00"/>
        <filter val="$1,320,156.00"/>
        <filter val="$1,689,023.00"/>
        <filter val="$1,689,024.00"/>
        <filter val="$100,000.00"/>
        <filter val="$107,208.00"/>
        <filter val="$109,134.00"/>
        <filter val="$11,618.00"/>
        <filter val="$111,994.00"/>
        <filter val="$112,960.00"/>
        <filter val="$117,760.00"/>
        <filter val="$119,718.67"/>
        <filter val="$127,444.00"/>
        <filter val="$130,338.00"/>
        <filter val="$130,340.00"/>
        <filter val="$132,726.00"/>
        <filter val="$132,727.00"/>
        <filter val="$133,336.00"/>
        <filter val="$136,132.00"/>
        <filter val="$137,097.33"/>
        <filter val="$138,248.00"/>
        <filter val="$142,068.00"/>
        <filter val="$147,718.00"/>
        <filter val="$148,204.00"/>
        <filter val="$150,614.00"/>
        <filter val="$154,460.00"/>
        <filter val="$165,115.00"/>
        <filter val="$166,314.00"/>
        <filter val="$169,012.00"/>
        <filter val="$169,014.00"/>
        <filter val="$172,456.00"/>
        <filter val="$174,656.00"/>
        <filter val="$175,150.00"/>
        <filter val="$175,716.00"/>
        <filter val="$175,960.00"/>
        <filter val="$187,036.00"/>
        <filter val="$188,268.00"/>
        <filter val="$19,758.00"/>
        <filter val="$204,000.00"/>
        <filter val="$208,566.00"/>
        <filter val="$208,720.00"/>
        <filter val="$232,004.00"/>
        <filter val="$24,468.00"/>
        <filter val="$241,564.00"/>
        <filter val="$243,300.00"/>
        <filter val="$246,800.00"/>
        <filter val="$252,328"/>
        <filter val="$253,516.00"/>
        <filter val="$257,484.00"/>
        <filter val="$26,192.00"/>
        <filter val="$260,678.00"/>
        <filter val="$263,164.00"/>
        <filter val="$263,178.00"/>
        <filter val="$265,109.00"/>
        <filter val="$265,507.00"/>
        <filter val="$275,466.00"/>
        <filter val="$277,233.00"/>
        <filter val="$28,340.00"/>
        <filter val="$289,642.00"/>
        <filter val="$290,380.00"/>
        <filter val="$30,558.00"/>
        <filter val="$319,984.00"/>
        <filter val="$326,500.00"/>
        <filter val="$331,064.00"/>
        <filter val="$331,796.00"/>
        <filter val="$338,022.00"/>
        <filter val="$338,024.00"/>
        <filter val="$344,748.00"/>
        <filter val="$351,372.00"/>
        <filter val="$36,600.00"/>
        <filter val="$39,520.00"/>
        <filter val="$39,522.00"/>
        <filter val="$400,000.00"/>
        <filter val="$422,528.00"/>
        <filter val="$427,110.00"/>
        <filter val="$43,614.00"/>
        <filter val="$43,615.00"/>
        <filter val="$43,616.00"/>
        <filter val="$434,032.00"/>
        <filter val="$439,514.00"/>
        <filter val="$452,644.00"/>
        <filter val="$47,648.00"/>
        <filter val="$473,945.00"/>
        <filter val="$486,922.00"/>
        <filter val="$49,400.00"/>
        <filter val="$495,288.00"/>
        <filter val="$502,512.00"/>
        <filter val="$503,521.00"/>
        <filter val="$504,766.00"/>
        <filter val="$507,034.00"/>
        <filter val="$507,036.00"/>
        <filter val="$523,022.00"/>
        <filter val="$539,316.00"/>
        <filter val="$547,768.00"/>
        <filter val="$561,106.00"/>
        <filter val="$563,007.00"/>
        <filter val="$566,554.00"/>
        <filter val="$575,454.00"/>
        <filter val="$591,538.00"/>
        <filter val="$621,249.00"/>
        <filter val="$64,002.00"/>
        <filter val="$640,664.00"/>
        <filter val="$65,169.00"/>
        <filter val="$65,480.00"/>
        <filter val="$65,480.14"/>
        <filter val="$698,906.00"/>
        <filter val="$737,734.00"/>
        <filter val="$740,398.00"/>
        <filter val="$760,550.00"/>
        <filter val="$80,838.00"/>
        <filter val="$828,432.00"/>
        <filter val="$83,384.50"/>
        <filter val="$832,280.00"/>
        <filter val="$854,218.00"/>
        <filter val="$87,308.00"/>
        <filter val="$89,790.00"/>
        <filter val="$9,448.00"/>
        <filter val="$912,461.00"/>
        <filter val="$951,289.00"/>
      </filters>
    </filterColumn>
    <sortState ref="A2:AK175">
      <sortCondition ref="A1:A175"/>
    </sortState>
  </autoFilter>
  <pageMargins left="0.7" right="0.7" top="0.75" bottom="0.75" header="0.3" footer="0.3"/>
  <pageSetup orientation="portrait" r:id="rId1"/>
  <ignoredErrors>
    <ignoredError sqref="AD170"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D4" zoomScale="80" zoomScaleNormal="80" workbookViewId="0">
      <selection activeCell="H15" sqref="H15:H20"/>
    </sheetView>
  </sheetViews>
  <sheetFormatPr defaultColWidth="8.7109375" defaultRowHeight="15" x14ac:dyDescent="0.25"/>
  <cols>
    <col min="1" max="1" width="24.7109375" style="293" customWidth="1"/>
    <col min="2" max="2" width="15.140625" style="293" customWidth="1"/>
    <col min="3" max="3" width="16.7109375" style="293" customWidth="1"/>
    <col min="4" max="4" width="17.5703125" style="293" customWidth="1"/>
    <col min="5" max="5" width="18.5703125" style="293" customWidth="1"/>
    <col min="6" max="6" width="18.140625" style="293" customWidth="1"/>
    <col min="7" max="7" width="20.140625" style="293" customWidth="1"/>
    <col min="8" max="8" width="20.140625" style="412" customWidth="1"/>
    <col min="9" max="16384" width="8.7109375" style="293"/>
  </cols>
  <sheetData>
    <row r="1" spans="1:8" ht="58.5" thickBot="1" x14ac:dyDescent="0.4">
      <c r="A1" s="79" t="s">
        <v>1288</v>
      </c>
      <c r="B1" s="80" t="s">
        <v>389</v>
      </c>
      <c r="C1" s="129" t="s">
        <v>563</v>
      </c>
      <c r="D1" s="129" t="s">
        <v>1285</v>
      </c>
      <c r="E1" s="129" t="s">
        <v>1271</v>
      </c>
      <c r="F1" s="130" t="s">
        <v>1272</v>
      </c>
    </row>
    <row r="2" spans="1:8" ht="14.45" x14ac:dyDescent="0.35">
      <c r="A2" s="386" t="s">
        <v>1026</v>
      </c>
      <c r="B2" s="272">
        <v>4</v>
      </c>
      <c r="C2" s="335">
        <v>2</v>
      </c>
      <c r="D2" s="387" t="e">
        <f>SUM('All Summaries'!AM101,'All Summaries'!AM102,'All Summaries'!AM115,'All Summaries'!#REF!)</f>
        <v>#REF!</v>
      </c>
      <c r="E2" s="388" t="e">
        <f>SUM('All Summaries'!Z102,'All Summaries'!Z115,'All Summaries'!#REF!)</f>
        <v>#REF!</v>
      </c>
      <c r="F2" s="134">
        <f>SUM('All Summaries'!Z101)</f>
        <v>5889</v>
      </c>
    </row>
    <row r="3" spans="1:8" ht="14.45" x14ac:dyDescent="0.35">
      <c r="A3" s="389" t="s">
        <v>575</v>
      </c>
      <c r="B3" s="270">
        <v>28</v>
      </c>
      <c r="C3" s="270">
        <v>14</v>
      </c>
      <c r="D3" s="254">
        <f>SUM('All Summaries'!AM59,'All Summaries'!AM91,'All Summaries'!AM97,'All Summaries'!AM98,'All Summaries'!AM99,'All Summaries'!AM100,'All Summaries'!AM103,'All Summaries'!AM104,'All Summaries'!AM107,'All Summaries'!AM108,'All Summaries'!AM110,'All Summaries'!AM111,'All Summaries'!AM112,'All Summaries'!AM113,'All Summaries'!AM114,'All Summaries'!AM116,'All Summaries'!AM117,'All Summaries'!AM118,'All Summaries'!AM119,'All Summaries'!AM120,'All Summaries'!AM121,'All Summaries'!AM123,'All Summaries'!AM124,'All Summaries'!AM126,'All Summaries'!AM128,'All Summaries'!AM129,'All Summaries'!AM130,'All Summaries'!AM131)</f>
        <v>539739503.93591523</v>
      </c>
      <c r="E3" s="87">
        <f>SUM('All Summaries'!Z59,'All Summaries'!Z91,'All Summaries'!Z131)</f>
        <v>15360</v>
      </c>
      <c r="F3" s="88">
        <f>SUM('All Summaries'!Z97,'All Summaries'!Z98,'All Summaries'!Z99,'All Summaries'!Z100,'All Summaries'!Z103,'All Summaries'!Z104,'All Summaries'!Z107,'All Summaries'!Z108,'All Summaries'!Z110,'All Summaries'!Z111,'All Summaries'!Z112,'All Summaries'!Z113,'All Summaries'!Z114,'All Summaries'!Z116,'All Summaries'!Z117,'All Summaries'!Z118,'All Summaries'!Z119,'All Summaries'!Z120,'All Summaries'!Z121,'All Summaries'!Z123,'All Summaries'!Z124,'All Summaries'!Z126,'All Summaries'!Z128,'All Summaries'!Z129,'All Summaries'!Z130)</f>
        <v>1330773</v>
      </c>
    </row>
    <row r="4" spans="1:8" ht="29.45" thickBot="1" x14ac:dyDescent="0.4">
      <c r="A4" s="389" t="s">
        <v>1027</v>
      </c>
      <c r="B4" s="270">
        <v>2</v>
      </c>
      <c r="C4" s="270">
        <v>2</v>
      </c>
      <c r="D4" s="254">
        <f>SUM('All Summaries'!AM105,'All Summaries'!AM106)</f>
        <v>26691646.600000001</v>
      </c>
      <c r="E4" s="87">
        <v>0</v>
      </c>
      <c r="F4" s="88">
        <f>SUM('All Summaries'!Z105,'All Summaries'!Z106)</f>
        <v>38898</v>
      </c>
    </row>
    <row r="5" spans="1:8" thickBot="1" x14ac:dyDescent="0.4">
      <c r="A5" s="363" t="s">
        <v>391</v>
      </c>
      <c r="B5" s="410">
        <f>SUM(B2:B4)</f>
        <v>34</v>
      </c>
      <c r="C5" s="313">
        <f>SUM(C2:C4)</f>
        <v>18</v>
      </c>
      <c r="D5" s="411" t="e">
        <f>SUM(D2:D4)</f>
        <v>#REF!</v>
      </c>
      <c r="E5" s="365" t="e">
        <f>SUM(E2:E4)</f>
        <v>#REF!</v>
      </c>
      <c r="F5" s="375">
        <f>SUM(F2:F4)</f>
        <v>1375560</v>
      </c>
    </row>
    <row r="6" spans="1:8" ht="14.45" x14ac:dyDescent="0.35">
      <c r="A6" s="391"/>
      <c r="B6" s="392"/>
      <c r="C6" s="392"/>
      <c r="D6" s="393"/>
      <c r="E6" s="394"/>
      <c r="F6" s="394"/>
    </row>
    <row r="7" spans="1:8" thickBot="1" x14ac:dyDescent="0.4">
      <c r="A7" s="391"/>
      <c r="B7" s="392"/>
      <c r="C7" s="392"/>
      <c r="D7" s="393"/>
      <c r="E7" s="394"/>
      <c r="F7" s="394"/>
    </row>
    <row r="8" spans="1:8" thickBot="1" x14ac:dyDescent="0.4">
      <c r="A8" s="395" t="s">
        <v>392</v>
      </c>
      <c r="B8" s="396" t="s">
        <v>566</v>
      </c>
      <c r="C8" s="396" t="s">
        <v>567</v>
      </c>
      <c r="D8" s="396" t="s">
        <v>568</v>
      </c>
      <c r="E8" s="397" t="s">
        <v>569</v>
      </c>
      <c r="F8" s="394"/>
    </row>
    <row r="9" spans="1:8" ht="14.45" x14ac:dyDescent="0.35">
      <c r="A9" s="398" t="s">
        <v>28</v>
      </c>
      <c r="B9" s="399" t="e">
        <f>SUM('All Summaries'!S59,'All Summaries'!S91,'All Summaries'!S102,'All Summaries'!S115,'All Summaries'!#REF!,'All Summaries'!S131)</f>
        <v>#REF!</v>
      </c>
      <c r="C9" s="399" t="e">
        <f>SUM('All Summaries'!U59,'All Summaries'!U91,'All Summaries'!U102,'All Summaries'!U115,'All Summaries'!#REF!,'All Summaries'!U131)</f>
        <v>#REF!</v>
      </c>
      <c r="D9" s="399" t="e">
        <f>SUM('All Summaries'!W59,'All Summaries'!W91,'All Summaries'!W102,'All Summaries'!W115,'All Summaries'!#REF!,'All Summaries'!W131)</f>
        <v>#REF!</v>
      </c>
      <c r="E9" s="400" t="e">
        <f>SUM(B9:D9)</f>
        <v>#REF!</v>
      </c>
    </row>
    <row r="10" spans="1:8" thickBot="1" x14ac:dyDescent="0.4">
      <c r="A10" s="401" t="s">
        <v>111</v>
      </c>
      <c r="B10" s="402">
        <f>SUM('All Summaries'!S97,'All Summaries'!S98,'All Summaries'!S99,'All Summaries'!S100,'All Summaries'!S101,'All Summaries'!S103,'All Summaries'!S104,'All Summaries'!S105,'All Summaries'!S106,'All Summaries'!S107,'All Summaries'!S108,'All Summaries'!S110,'All Summaries'!S111,'All Summaries'!S112,'All Summaries'!S113,'All Summaries'!S114,'All Summaries'!S116,'All Summaries'!S117,'All Summaries'!S118,'All Summaries'!S119,'All Summaries'!S120,'All Summaries'!S121,'All Summaries'!S123,'All Summaries'!S124,'All Summaries'!S126,'All Summaries'!S128,'All Summaries'!S129,'All Summaries'!S130)</f>
        <v>390007</v>
      </c>
      <c r="C10" s="402">
        <f>SUM('All Summaries'!U97,'All Summaries'!U98,'All Summaries'!U99,'All Summaries'!U100,'All Summaries'!U101,'All Summaries'!U103,'All Summaries'!U104,'All Summaries'!U105,'All Summaries'!U106,'All Summaries'!U107,'All Summaries'!U108,'All Summaries'!U110,'All Summaries'!U111,'All Summaries'!U112,'All Summaries'!U113,'All Summaries'!U114,'All Summaries'!U116,'All Summaries'!U117,'All Summaries'!U118,'All Summaries'!U119,'All Summaries'!U120,'All Summaries'!U121,'All Summaries'!U123,'All Summaries'!U124,'All Summaries'!U126,'All Summaries'!U128,'All Summaries'!U129,'All Summaries'!U130)</f>
        <v>447907</v>
      </c>
      <c r="D10" s="402">
        <f>SUM('All Summaries'!W97,'All Summaries'!W98,'All Summaries'!W99,'All Summaries'!W100,'All Summaries'!W101,'All Summaries'!W103,'All Summaries'!W104,'All Summaries'!W105,'All Summaries'!W106,'All Summaries'!W107,'All Summaries'!W108,'All Summaries'!W110,'All Summaries'!W111,'All Summaries'!W112,'All Summaries'!W113,'All Summaries'!W114,'All Summaries'!W116,'All Summaries'!W117,'All Summaries'!W118,'All Summaries'!W119,'All Summaries'!W120,'All Summaries'!W121,'All Summaries'!W123,'All Summaries'!W124,'All Summaries'!W126,'All Summaries'!W128,'All Summaries'!W129,'All Summaries'!W130)</f>
        <v>537646</v>
      </c>
      <c r="E10" s="403">
        <f>SUM(B10:D10)</f>
        <v>1375560</v>
      </c>
    </row>
    <row r="11" spans="1:8" thickBot="1" x14ac:dyDescent="0.4">
      <c r="A11" s="404" t="s">
        <v>391</v>
      </c>
      <c r="B11" s="405" t="e">
        <f>SUM(B9:B10)</f>
        <v>#REF!</v>
      </c>
      <c r="C11" s="405" t="e">
        <f>SUM(C9:C10)</f>
        <v>#REF!</v>
      </c>
      <c r="D11" s="405" t="e">
        <f>SUM(D9:D10)</f>
        <v>#REF!</v>
      </c>
      <c r="E11" s="406" t="e">
        <f>SUM(E9:E10)</f>
        <v>#REF!</v>
      </c>
    </row>
    <row r="13" spans="1:8" thickBot="1" x14ac:dyDescent="0.4">
      <c r="A13" s="873" t="s">
        <v>752</v>
      </c>
      <c r="B13" s="873"/>
      <c r="C13" s="873"/>
      <c r="D13" s="873"/>
      <c r="E13" s="873"/>
      <c r="F13" s="873"/>
    </row>
    <row r="14" spans="1:8" ht="81.75" customHeight="1" thickBot="1" x14ac:dyDescent="0.4">
      <c r="A14" s="142" t="s">
        <v>751</v>
      </c>
      <c r="B14" s="143" t="s">
        <v>1274</v>
      </c>
      <c r="C14" s="143" t="s">
        <v>1275</v>
      </c>
      <c r="D14" s="143" t="s">
        <v>1290</v>
      </c>
      <c r="E14" s="143" t="s">
        <v>1291</v>
      </c>
      <c r="F14" s="143" t="s">
        <v>1289</v>
      </c>
      <c r="G14" s="407" t="s">
        <v>1292</v>
      </c>
      <c r="H14" s="103" t="s">
        <v>571</v>
      </c>
    </row>
    <row r="15" spans="1:8" x14ac:dyDescent="0.25">
      <c r="A15" s="874" t="s">
        <v>1026</v>
      </c>
      <c r="B15" s="328">
        <v>1</v>
      </c>
      <c r="C15" s="328">
        <v>1</v>
      </c>
      <c r="D15" s="328"/>
      <c r="E15" s="328">
        <v>2</v>
      </c>
      <c r="F15" s="328"/>
      <c r="G15" s="334"/>
      <c r="H15" s="275">
        <f t="shared" ref="H15:H22" si="0">SUM(B15:G15)</f>
        <v>4</v>
      </c>
    </row>
    <row r="16" spans="1:8" x14ac:dyDescent="0.25">
      <c r="A16" s="871"/>
      <c r="B16" s="276">
        <f>SUM('All Summaries'!AM115)</f>
        <v>32989687.670000002</v>
      </c>
      <c r="C16" s="330">
        <f>SUM('All Summaries'!AM102)</f>
        <v>11805660.869999999</v>
      </c>
      <c r="D16" s="330"/>
      <c r="E16" s="330" t="e">
        <f>SUM('All Summaries'!AM101,'All Summaries'!#REF!)</f>
        <v>#REF!</v>
      </c>
      <c r="F16" s="329"/>
      <c r="G16" s="274"/>
      <c r="H16" s="279" t="e">
        <f t="shared" si="0"/>
        <v>#REF!</v>
      </c>
    </row>
    <row r="17" spans="1:8" x14ac:dyDescent="0.25">
      <c r="A17" s="872" t="s">
        <v>575</v>
      </c>
      <c r="B17" s="270">
        <v>15</v>
      </c>
      <c r="C17" s="270">
        <v>8</v>
      </c>
      <c r="D17" s="270">
        <v>1</v>
      </c>
      <c r="E17" s="270">
        <v>2</v>
      </c>
      <c r="F17" s="270">
        <v>1</v>
      </c>
      <c r="G17" s="274">
        <v>1</v>
      </c>
      <c r="H17" s="275">
        <f t="shared" si="0"/>
        <v>28</v>
      </c>
    </row>
    <row r="18" spans="1:8" x14ac:dyDescent="0.25">
      <c r="A18" s="871"/>
      <c r="B18" s="276">
        <f>SUM('All Summaries'!AM97,'All Summaries'!AM103,'All Summaries'!AM104,'All Summaries'!AM107,'All Summaries'!AM108,'All Summaries'!AM110,'All Summaries'!AM112,'All Summaries'!AM113,'All Summaries'!AM114,'All Summaries'!AM116,'All Summaries'!AM120,'All Summaries'!AM126,'All Summaries'!AM128,'All Summaries'!AM130,'All Summaries'!AM131)</f>
        <v>280710488.33999997</v>
      </c>
      <c r="C18" s="276">
        <f>SUM('All Summaries'!AM98,'All Summaries'!AM99,'All Summaries'!AM117,'All Summaries'!AM118,'All Summaries'!AM119,'All Summaries'!AM121,'All Summaries'!AM123,'All Summaries'!AM129)</f>
        <v>232957194</v>
      </c>
      <c r="D18" s="276">
        <f>SUM('All Summaries'!AM59)</f>
        <v>11730408.625915317</v>
      </c>
      <c r="E18" s="276">
        <f>SUM('All Summaries'!AM100,'All Summaries'!AM111)</f>
        <v>6024542.0899999999</v>
      </c>
      <c r="F18" s="276">
        <f>SUM('All Summaries'!AM124)</f>
        <v>2825373.88</v>
      </c>
      <c r="G18" s="278">
        <f>SUM('All Summaries'!AM91)</f>
        <v>5491497</v>
      </c>
      <c r="H18" s="279">
        <f t="shared" si="0"/>
        <v>539739503.93591523</v>
      </c>
    </row>
    <row r="19" spans="1:8" x14ac:dyDescent="0.25">
      <c r="A19" s="872" t="s">
        <v>1027</v>
      </c>
      <c r="B19" s="270">
        <v>2</v>
      </c>
      <c r="C19" s="270"/>
      <c r="D19" s="270"/>
      <c r="E19" s="270"/>
      <c r="F19" s="270"/>
      <c r="G19" s="274"/>
      <c r="H19" s="275">
        <f t="shared" si="0"/>
        <v>2</v>
      </c>
    </row>
    <row r="20" spans="1:8" ht="15.75" thickBot="1" x14ac:dyDescent="0.3">
      <c r="A20" s="871"/>
      <c r="B20" s="276">
        <f>SUM('All Summaries'!AM105,'All Summaries'!AM106)</f>
        <v>26691646.600000001</v>
      </c>
      <c r="C20" s="276"/>
      <c r="D20" s="276"/>
      <c r="E20" s="276"/>
      <c r="F20" s="276"/>
      <c r="G20" s="274"/>
      <c r="H20" s="279">
        <f t="shared" si="0"/>
        <v>26691646.600000001</v>
      </c>
    </row>
    <row r="21" spans="1:8" x14ac:dyDescent="0.25">
      <c r="A21" s="868" t="s">
        <v>391</v>
      </c>
      <c r="B21" s="413">
        <f>SUM(B15,B17,B19)</f>
        <v>18</v>
      </c>
      <c r="C21" s="413">
        <f t="shared" ref="C21:G21" si="1">SUM(C15,C17,C19)</f>
        <v>9</v>
      </c>
      <c r="D21" s="413">
        <f t="shared" si="1"/>
        <v>1</v>
      </c>
      <c r="E21" s="413">
        <f t="shared" si="1"/>
        <v>4</v>
      </c>
      <c r="F21" s="413">
        <f>SUM(F15,F17,F19)</f>
        <v>1</v>
      </c>
      <c r="G21" s="414">
        <f t="shared" si="1"/>
        <v>1</v>
      </c>
      <c r="H21" s="115">
        <f t="shared" si="0"/>
        <v>34</v>
      </c>
    </row>
    <row r="22" spans="1:8" ht="15.75" thickBot="1" x14ac:dyDescent="0.3">
      <c r="A22" s="869"/>
      <c r="B22" s="373">
        <f>SUM(B16,B18,B20)</f>
        <v>340391822.61000001</v>
      </c>
      <c r="C22" s="373">
        <f t="shared" ref="C22:G22" si="2">SUM(C16,C18,C20)</f>
        <v>244762854.87</v>
      </c>
      <c r="D22" s="373">
        <f t="shared" si="2"/>
        <v>11730408.625915317</v>
      </c>
      <c r="E22" s="373" t="e">
        <f t="shared" si="2"/>
        <v>#REF!</v>
      </c>
      <c r="F22" s="373">
        <f>SUM(F16,F18,F20)</f>
        <v>2825373.88</v>
      </c>
      <c r="G22" s="374">
        <f t="shared" si="2"/>
        <v>5491497</v>
      </c>
      <c r="H22" s="415" t="e">
        <f t="shared" si="0"/>
        <v>#REF!</v>
      </c>
    </row>
  </sheetData>
  <mergeCells count="5">
    <mergeCell ref="A19:A20"/>
    <mergeCell ref="A21:A22"/>
    <mergeCell ref="A13:F13"/>
    <mergeCell ref="A15:A16"/>
    <mergeCell ref="A17:A18"/>
  </mergeCells>
  <pageMargins left="0.7" right="0.7" top="0.75" bottom="0.75" header="0.3" footer="0.3"/>
  <pageSetup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B1" zoomScale="80" zoomScaleNormal="80" workbookViewId="0">
      <selection activeCell="F15" sqref="F15:F18"/>
    </sheetView>
  </sheetViews>
  <sheetFormatPr defaultColWidth="8.7109375" defaultRowHeight="15" x14ac:dyDescent="0.25"/>
  <cols>
    <col min="1" max="1" width="24.140625" style="293" customWidth="1"/>
    <col min="2" max="3" width="17.7109375" style="293" customWidth="1"/>
    <col min="4" max="4" width="19.85546875" style="293" customWidth="1"/>
    <col min="5" max="5" width="17.140625" style="293" customWidth="1"/>
    <col min="6" max="7" width="18.85546875" style="293" customWidth="1"/>
    <col min="8" max="8" width="18.140625" style="293" customWidth="1"/>
    <col min="9" max="16384" width="8.7109375" style="293"/>
  </cols>
  <sheetData>
    <row r="1" spans="1:8" ht="71.25" customHeight="1" thickBot="1" x14ac:dyDescent="0.4">
      <c r="A1" s="79" t="s">
        <v>1294</v>
      </c>
      <c r="B1" s="80" t="s">
        <v>562</v>
      </c>
      <c r="C1" s="80" t="s">
        <v>563</v>
      </c>
      <c r="D1" s="80" t="s">
        <v>1293</v>
      </c>
      <c r="E1" s="80" t="s">
        <v>1271</v>
      </c>
      <c r="F1" s="81" t="s">
        <v>1272</v>
      </c>
      <c r="G1" s="285"/>
    </row>
    <row r="2" spans="1:8" s="412" customFormat="1" ht="14.45" x14ac:dyDescent="0.35">
      <c r="A2" s="427" t="s">
        <v>862</v>
      </c>
      <c r="B2" s="431">
        <v>27</v>
      </c>
      <c r="C2" s="431">
        <v>8</v>
      </c>
      <c r="D2" s="433">
        <f>SUM('All Summaries'!AM74,'All Summaries'!AM86,'All Summaries'!AM89,'All Summaries'!AM90,'All Summaries'!AM92,'All Summaries'!AM132,'All Summaries'!AM133,'All Summaries'!AM134,'All Summaries'!AM135,'All Summaries'!AM136,'All Summaries'!AM137,'All Summaries'!AM139,'All Summaries'!AM140,'All Summaries'!AM141,'All Summaries'!AM142,'All Summaries'!AM143,'All Summaries'!AM144,'All Summaries'!AM145,'All Summaries'!AM146,'All Summaries'!AM147,'All Summaries'!AM148,'All Summaries'!AM149,'All Summaries'!AM150,'All Summaries'!AM151,'All Summaries'!AM152,'All Summaries'!AM153,'All Summaries'!AM154)</f>
        <v>259639602.76999998</v>
      </c>
      <c r="E2" s="440">
        <f>SUM('All Summaries'!Z92,'All Summaries'!Z137)</f>
        <v>33825</v>
      </c>
      <c r="F2" s="441">
        <f>SUM('All Summaries'!Z74,'All Summaries'!Z86,'All Summaries'!Z89,'All Summaries'!Z90,'All Summaries'!Z132,'All Summaries'!Z133,'All Summaries'!Z134,'All Summaries'!Z135,'All Summaries'!Z136,'All Summaries'!Z139,'All Summaries'!Z140,'All Summaries'!Z141,'All Summaries'!Z142,'All Summaries'!Z143,'All Summaries'!Z144,'All Summaries'!Z145,'All Summaries'!Z146,'All Summaries'!Z147,'All Summaries'!Z148,'All Summaries'!Z149,'All Summaries'!Z150,'All Summaries'!Z151,'All Summaries'!Z152,'All Summaries'!Z153,'All Summaries'!Z154)</f>
        <v>421481</v>
      </c>
      <c r="G2" s="285"/>
    </row>
    <row r="3" spans="1:8" thickBot="1" x14ac:dyDescent="0.4">
      <c r="A3" s="426" t="s">
        <v>1028</v>
      </c>
      <c r="B3" s="428">
        <v>2</v>
      </c>
      <c r="C3" s="428">
        <v>2</v>
      </c>
      <c r="D3" s="432">
        <f>SUM('All Summaries'!AM127,'All Summaries'!AM138)</f>
        <v>2563533</v>
      </c>
      <c r="E3" s="429">
        <v>0</v>
      </c>
      <c r="F3" s="430">
        <f>SUM('All Summaries'!Z127,'All Summaries'!Z138)</f>
        <v>848</v>
      </c>
      <c r="G3" s="416"/>
    </row>
    <row r="4" spans="1:8" thickBot="1" x14ac:dyDescent="0.4">
      <c r="A4" s="91" t="s">
        <v>391</v>
      </c>
      <c r="B4" s="92">
        <f>SUM(B2:B3)</f>
        <v>29</v>
      </c>
      <c r="C4" s="92">
        <f t="shared" ref="C4:F4" si="0">SUM(C2:C3)</f>
        <v>10</v>
      </c>
      <c r="D4" s="442">
        <f t="shared" si="0"/>
        <v>262203135.76999998</v>
      </c>
      <c r="E4" s="93">
        <f t="shared" si="0"/>
        <v>33825</v>
      </c>
      <c r="F4" s="93">
        <f t="shared" si="0"/>
        <v>422329</v>
      </c>
      <c r="G4" s="417"/>
    </row>
    <row r="5" spans="1:8" s="412" customFormat="1" ht="14.45" x14ac:dyDescent="0.35">
      <c r="A5" s="422"/>
      <c r="B5" s="423"/>
      <c r="C5" s="423"/>
      <c r="D5" s="424"/>
      <c r="E5" s="425"/>
      <c r="F5" s="425"/>
      <c r="G5" s="425"/>
    </row>
    <row r="6" spans="1:8" thickBot="1" x14ac:dyDescent="0.4">
      <c r="G6" s="294"/>
    </row>
    <row r="7" spans="1:8" thickBot="1" x14ac:dyDescent="0.4">
      <c r="A7" s="395" t="s">
        <v>392</v>
      </c>
      <c r="B7" s="396" t="s">
        <v>566</v>
      </c>
      <c r="C7" s="396" t="s">
        <v>567</v>
      </c>
      <c r="D7" s="396" t="s">
        <v>568</v>
      </c>
      <c r="E7" s="397" t="s">
        <v>569</v>
      </c>
      <c r="G7" s="294"/>
    </row>
    <row r="8" spans="1:8" ht="14.45" x14ac:dyDescent="0.35">
      <c r="A8" s="398" t="s">
        <v>28</v>
      </c>
      <c r="B8" s="399">
        <f>SUM('All Summaries'!S92,'All Summaries'!S137)</f>
        <v>2620</v>
      </c>
      <c r="C8" s="399">
        <f>SUM('All Summaries'!U92,'All Summaries'!U137)</f>
        <v>4120</v>
      </c>
      <c r="D8" s="399">
        <f>SUM('All Summaries'!W92,'All Summaries'!W137)</f>
        <v>27085</v>
      </c>
      <c r="E8" s="400">
        <f>SUM(B8:D8)</f>
        <v>33825</v>
      </c>
      <c r="G8" s="294"/>
    </row>
    <row r="9" spans="1:8" thickBot="1" x14ac:dyDescent="0.4">
      <c r="A9" s="401" t="s">
        <v>111</v>
      </c>
      <c r="B9" s="402">
        <f>SUM('All Summaries'!S74,'All Summaries'!S86,'All Summaries'!S89,'All Summaries'!S90,'All Summaries'!S127,'All Summaries'!S132,'All Summaries'!S133,'All Summaries'!S134,'All Summaries'!S135,'All Summaries'!S136,'All Summaries'!S138,'All Summaries'!S139,'All Summaries'!S140,'All Summaries'!S141,'All Summaries'!S142,'All Summaries'!S143,'All Summaries'!S144,'All Summaries'!S145,'All Summaries'!S146,'All Summaries'!S147,'All Summaries'!S148,'All Summaries'!S149,'All Summaries'!S150,'All Summaries'!S151,'All Summaries'!S152,'All Summaries'!S153,'All Summaries'!S154)</f>
        <v>133135</v>
      </c>
      <c r="C9" s="402">
        <f>SUM('All Summaries'!U74,'All Summaries'!U86,'All Summaries'!U89,'All Summaries'!U90,'All Summaries'!U127,'All Summaries'!U132,'All Summaries'!U133,'All Summaries'!U134,'All Summaries'!U135,'All Summaries'!U136,'All Summaries'!U138,'All Summaries'!U139,'All Summaries'!U140,'All Summaries'!U141,'All Summaries'!U142,'All Summaries'!U143,'All Summaries'!U144,'All Summaries'!U145,'All Summaries'!U146,'All Summaries'!U147,'All Summaries'!U148,'All Summaries'!U149,'All Summaries'!U150,'All Summaries'!U151,'All Summaries'!U152,'All Summaries'!U153,'All Summaries'!U154)</f>
        <v>142649</v>
      </c>
      <c r="D9" s="402">
        <f>SUM('All Summaries'!W74,'All Summaries'!W86,'All Summaries'!W89,'All Summaries'!W90,'All Summaries'!W127,'All Summaries'!W132,'All Summaries'!W133,'All Summaries'!W134,'All Summaries'!W135,'All Summaries'!W136,'All Summaries'!W138,'All Summaries'!W139,'All Summaries'!W140,'All Summaries'!W141,'All Summaries'!W142,'All Summaries'!W143,'All Summaries'!W144,'All Summaries'!W145,'All Summaries'!W146,'All Summaries'!W147,'All Summaries'!W148,'All Summaries'!W149,'All Summaries'!W150,'All Summaries'!W151,'All Summaries'!W152,'All Summaries'!W153,'All Summaries'!W154)</f>
        <v>146545</v>
      </c>
      <c r="E9" s="444">
        <f t="shared" ref="E9:E10" si="1">SUM(B9:D9)</f>
        <v>422329</v>
      </c>
      <c r="G9" s="294"/>
    </row>
    <row r="10" spans="1:8" thickBot="1" x14ac:dyDescent="0.4">
      <c r="A10" s="404" t="s">
        <v>391</v>
      </c>
      <c r="B10" s="405">
        <f>SUM(B8:B9)</f>
        <v>135755</v>
      </c>
      <c r="C10" s="405">
        <f t="shared" ref="C10:D10" si="2">SUM(C8:C9)</f>
        <v>146769</v>
      </c>
      <c r="D10" s="405">
        <f t="shared" si="2"/>
        <v>173630</v>
      </c>
      <c r="E10" s="443">
        <f t="shared" si="1"/>
        <v>456154</v>
      </c>
      <c r="G10" s="294"/>
    </row>
    <row r="11" spans="1:8" s="412" customFormat="1" ht="14.45" x14ac:dyDescent="0.35">
      <c r="A11" s="422"/>
      <c r="B11" s="425"/>
      <c r="C11" s="425"/>
      <c r="D11" s="425"/>
      <c r="E11" s="425"/>
      <c r="G11" s="340"/>
    </row>
    <row r="12" spans="1:8" ht="14.45" x14ac:dyDescent="0.35">
      <c r="G12" s="294"/>
    </row>
    <row r="13" spans="1:8" thickBot="1" x14ac:dyDescent="0.4">
      <c r="A13" s="875" t="s">
        <v>861</v>
      </c>
      <c r="B13" s="875"/>
      <c r="C13" s="875"/>
      <c r="H13" s="340"/>
    </row>
    <row r="14" spans="1:8" ht="60" customHeight="1" thickBot="1" x14ac:dyDescent="0.4">
      <c r="A14" s="142" t="s">
        <v>1295</v>
      </c>
      <c r="B14" s="143" t="s">
        <v>1274</v>
      </c>
      <c r="C14" s="143" t="s">
        <v>1275</v>
      </c>
      <c r="D14" s="143" t="s">
        <v>1276</v>
      </c>
      <c r="E14" s="143" t="s">
        <v>1277</v>
      </c>
      <c r="F14" s="445" t="s">
        <v>571</v>
      </c>
      <c r="H14" s="418"/>
    </row>
    <row r="15" spans="1:8" s="412" customFormat="1" x14ac:dyDescent="0.25">
      <c r="A15" s="877" t="s">
        <v>862</v>
      </c>
      <c r="B15" s="446">
        <v>9</v>
      </c>
      <c r="C15" s="446">
        <v>11</v>
      </c>
      <c r="D15" s="446">
        <v>1</v>
      </c>
      <c r="E15" s="446">
        <v>6</v>
      </c>
      <c r="F15" s="447">
        <f t="shared" ref="F15:F20" si="3">SUM(B15:E15)</f>
        <v>27</v>
      </c>
      <c r="H15" s="418"/>
    </row>
    <row r="16" spans="1:8" x14ac:dyDescent="0.25">
      <c r="A16" s="877"/>
      <c r="B16" s="408">
        <f>SUM('All Summaries'!AM74,'All Summaries'!AM89,'All Summaries'!AM90,'All Summaries'!AM92,'All Summaries'!AM132,'All Summaries'!AM133,'All Summaries'!AM135,'All Summaries'!AM146,'All Summaries'!AM149)</f>
        <v>98341213.769999996</v>
      </c>
      <c r="C16" s="448">
        <f>SUM('All Summaries'!AM134,'All Summaries'!AM136,'All Summaries'!AM142,'All Summaries'!AM143,'All Summaries'!AM144,'All Summaries'!AM145,'All Summaries'!AM148,'All Summaries'!AM150,'All Summaries'!AM151,'All Summaries'!AM152,'All Summaries'!AM153)</f>
        <v>94598116</v>
      </c>
      <c r="D16" s="448">
        <f>SUM('All Summaries'!AM154)</f>
        <v>7144944</v>
      </c>
      <c r="E16" s="448">
        <f>SUM('All Summaries'!AM86,'All Summaries'!AM137,'All Summaries'!AM139,'All Summaries'!AM140,'All Summaries'!AM141,'All Summaries'!AM147)</f>
        <v>59555329</v>
      </c>
      <c r="F16" s="439">
        <f t="shared" si="3"/>
        <v>259639602.76999998</v>
      </c>
      <c r="H16" s="340"/>
    </row>
    <row r="17" spans="1:8" x14ac:dyDescent="0.25">
      <c r="A17" s="878" t="s">
        <v>1028</v>
      </c>
      <c r="B17" s="435">
        <v>2</v>
      </c>
      <c r="C17" s="435"/>
      <c r="D17" s="435"/>
      <c r="E17" s="435"/>
      <c r="F17" s="436">
        <f t="shared" si="3"/>
        <v>2</v>
      </c>
      <c r="H17" s="340"/>
    </row>
    <row r="18" spans="1:8" ht="15.75" thickBot="1" x14ac:dyDescent="0.3">
      <c r="A18" s="879"/>
      <c r="B18" s="437">
        <f>SUM('All Summaries'!AM127,'All Summaries'!AM138)</f>
        <v>2563533</v>
      </c>
      <c r="C18" s="438"/>
      <c r="D18" s="438"/>
      <c r="E18" s="438"/>
      <c r="F18" s="449">
        <f t="shared" si="3"/>
        <v>2563533</v>
      </c>
      <c r="H18" s="419"/>
    </row>
    <row r="19" spans="1:8" x14ac:dyDescent="0.25">
      <c r="A19" s="876" t="s">
        <v>863</v>
      </c>
      <c r="B19" s="420">
        <f>SUM(B15,B17)</f>
        <v>11</v>
      </c>
      <c r="C19" s="420">
        <f t="shared" ref="C19:E19" si="4">SUM(C15,C17)</f>
        <v>11</v>
      </c>
      <c r="D19" s="420">
        <f t="shared" si="4"/>
        <v>1</v>
      </c>
      <c r="E19" s="420">
        <f t="shared" si="4"/>
        <v>6</v>
      </c>
      <c r="F19" s="450">
        <f t="shared" si="3"/>
        <v>29</v>
      </c>
      <c r="H19" s="340"/>
    </row>
    <row r="20" spans="1:8" ht="15.75" thickBot="1" x14ac:dyDescent="0.3">
      <c r="A20" s="869"/>
      <c r="B20" s="116">
        <f>SUM(B16,B18)</f>
        <v>100904746.77</v>
      </c>
      <c r="C20" s="116">
        <f t="shared" ref="C20:E20" si="5">SUM(C16,C18)</f>
        <v>94598116</v>
      </c>
      <c r="D20" s="116">
        <f t="shared" si="5"/>
        <v>7144944</v>
      </c>
      <c r="E20" s="116">
        <f t="shared" si="5"/>
        <v>59555329</v>
      </c>
      <c r="F20" s="421">
        <f t="shared" si="3"/>
        <v>262203135.76999998</v>
      </c>
      <c r="H20" s="419"/>
    </row>
    <row r="21" spans="1:8" x14ac:dyDescent="0.25">
      <c r="H21" s="340"/>
    </row>
    <row r="22" spans="1:8" x14ac:dyDescent="0.25">
      <c r="H22" s="340"/>
    </row>
    <row r="23" spans="1:8" x14ac:dyDescent="0.25">
      <c r="H23" s="340"/>
    </row>
  </sheetData>
  <mergeCells count="4">
    <mergeCell ref="A13:C13"/>
    <mergeCell ref="A19:A20"/>
    <mergeCell ref="A15:A16"/>
    <mergeCell ref="A17:A18"/>
  </mergeCells>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D11" zoomScale="80" zoomScaleNormal="80" workbookViewId="0">
      <selection activeCell="G27" sqref="G18:G27"/>
    </sheetView>
  </sheetViews>
  <sheetFormatPr defaultColWidth="8.7109375" defaultRowHeight="15" x14ac:dyDescent="0.25"/>
  <cols>
    <col min="1" max="1" width="19.140625" style="293" customWidth="1"/>
    <col min="2" max="2" width="19.85546875" style="293" customWidth="1"/>
    <col min="3" max="3" width="18.7109375" style="293" customWidth="1"/>
    <col min="4" max="4" width="18" style="293" customWidth="1"/>
    <col min="5" max="5" width="20.7109375" style="293" customWidth="1"/>
    <col min="6" max="6" width="21.28515625" style="293" customWidth="1"/>
    <col min="7" max="7" width="17.42578125" style="293" customWidth="1"/>
    <col min="8" max="16384" width="8.7109375" style="293"/>
  </cols>
  <sheetData>
    <row r="1" spans="1:6" ht="58.5" thickBot="1" x14ac:dyDescent="0.4">
      <c r="A1" s="79" t="s">
        <v>1301</v>
      </c>
      <c r="B1" s="80" t="s">
        <v>389</v>
      </c>
      <c r="C1" s="80" t="s">
        <v>390</v>
      </c>
      <c r="D1" s="129" t="s">
        <v>1296</v>
      </c>
      <c r="E1" s="80" t="s">
        <v>564</v>
      </c>
      <c r="F1" s="130" t="s">
        <v>565</v>
      </c>
    </row>
    <row r="2" spans="1:6" ht="14.45" x14ac:dyDescent="0.35">
      <c r="A2" s="451" t="s">
        <v>75</v>
      </c>
      <c r="B2" s="328">
        <v>6</v>
      </c>
      <c r="C2" s="328">
        <v>3</v>
      </c>
      <c r="D2" s="452">
        <f>SUM('All Summaries'!AM66,'All Summaries'!AM69,'All Summaries'!AM70,'All Summaries'!AM84,'All Summaries'!AM85,'All Summaries'!AM109)</f>
        <v>62816461.360929929</v>
      </c>
      <c r="E2" s="453">
        <f>SUM('All Summaries'!Z66,'All Summaries'!Z69,'All Summaries'!Z70,'All Summaries'!Z84,'All Summaries'!Z85,'All Summaries'!Z109)</f>
        <v>64938</v>
      </c>
      <c r="F2" s="482">
        <v>0</v>
      </c>
    </row>
    <row r="3" spans="1:6" ht="14.45" x14ac:dyDescent="0.35">
      <c r="A3" s="451" t="s">
        <v>1025</v>
      </c>
      <c r="B3" s="328">
        <v>1</v>
      </c>
      <c r="C3" s="328">
        <v>1</v>
      </c>
      <c r="D3" s="452">
        <f>SUM('All Summaries'!AM93)</f>
        <v>339751</v>
      </c>
      <c r="E3" s="453">
        <f>SUM('All Summaries'!Z93)</f>
        <v>900</v>
      </c>
      <c r="F3" s="482">
        <v>0</v>
      </c>
    </row>
    <row r="4" spans="1:6" ht="14.45" x14ac:dyDescent="0.35">
      <c r="A4" s="451" t="s">
        <v>1302</v>
      </c>
      <c r="B4" s="328">
        <v>3</v>
      </c>
      <c r="C4" s="328">
        <v>2</v>
      </c>
      <c r="D4" s="452">
        <f>SUM('All Summaries'!AM76,'All Summaries'!AM79,'All Summaries'!AM96)</f>
        <v>21184010</v>
      </c>
      <c r="E4" s="453">
        <f>SUM('All Summaries'!Z76,'All Summaries'!Z79,'All Summaries'!Z96)</f>
        <v>11340</v>
      </c>
      <c r="F4" s="482">
        <v>0</v>
      </c>
    </row>
    <row r="5" spans="1:6" ht="14.45" x14ac:dyDescent="0.35">
      <c r="A5" s="451" t="s">
        <v>1303</v>
      </c>
      <c r="B5" s="328">
        <v>2</v>
      </c>
      <c r="C5" s="328">
        <v>1</v>
      </c>
      <c r="D5" s="452">
        <f>SUM('All Summaries'!AM68,'All Summaries'!AM71)</f>
        <v>14310339.107567374</v>
      </c>
      <c r="E5" s="453">
        <f>SUM('All Summaries'!Z68,'All Summaries'!Z71)</f>
        <v>2613</v>
      </c>
      <c r="F5" s="482">
        <v>0</v>
      </c>
    </row>
    <row r="6" spans="1:6" thickBot="1" x14ac:dyDescent="0.4">
      <c r="A6" s="454" t="s">
        <v>434</v>
      </c>
      <c r="B6" s="272">
        <v>3</v>
      </c>
      <c r="C6" s="272">
        <v>1</v>
      </c>
      <c r="D6" s="455">
        <f>SUM('All Summaries'!AM77,'All Summaries'!AM78,'All Summaries'!AM80)</f>
        <v>37127848.130000003</v>
      </c>
      <c r="E6" s="440">
        <f>SUM('All Summaries'!Z77,'All Summaries'!Z78,'All Summaries'!Z80)</f>
        <v>84165</v>
      </c>
      <c r="F6" s="483">
        <v>0</v>
      </c>
    </row>
    <row r="7" spans="1:6" thickBot="1" x14ac:dyDescent="0.4">
      <c r="A7" s="468" t="s">
        <v>391</v>
      </c>
      <c r="B7" s="410">
        <f>SUM(B2:B6)</f>
        <v>15</v>
      </c>
      <c r="C7" s="410">
        <f>SUM(C2:C6)</f>
        <v>8</v>
      </c>
      <c r="D7" s="473">
        <f>SUM(D2:D6)</f>
        <v>135778409.5984973</v>
      </c>
      <c r="E7" s="457">
        <f>SUM(E2:E6)</f>
        <v>163956</v>
      </c>
      <c r="F7" s="487">
        <f>SUM(F2:F6)</f>
        <v>0</v>
      </c>
    </row>
    <row r="9" spans="1:6" thickBot="1" x14ac:dyDescent="0.4">
      <c r="B9" s="297"/>
      <c r="C9" s="297"/>
      <c r="D9" s="297"/>
      <c r="E9" s="297"/>
    </row>
    <row r="10" spans="1:6" ht="29.45" thickBot="1" x14ac:dyDescent="0.4">
      <c r="A10" s="79" t="s">
        <v>934</v>
      </c>
      <c r="B10" s="129" t="s">
        <v>935</v>
      </c>
      <c r="C10" s="129" t="s">
        <v>936</v>
      </c>
      <c r="D10" s="129" t="s">
        <v>937</v>
      </c>
      <c r="E10" s="129" t="s">
        <v>1297</v>
      </c>
    </row>
    <row r="11" spans="1:6" ht="14.45" x14ac:dyDescent="0.35">
      <c r="A11" s="469" t="s">
        <v>189</v>
      </c>
      <c r="B11" s="470">
        <f>SUM('All Summaries'!S66,'All Summaries'!S68,'All Summaries'!S69,'All Summaries'!S70,'All Summaries'!S71,'All Summaries'!S76,'All Summaries'!S77,'All Summaries'!S78,'All Summaries'!S79,'All Summaries'!S80,'All Summaries'!S84,'All Summaries'!S85,'All Summaries'!S93,'All Summaries'!S96,'All Summaries'!S109)</f>
        <v>54652</v>
      </c>
      <c r="C11" s="470">
        <f>SUM('All Summaries'!U66,'All Summaries'!U68,'All Summaries'!U69,'All Summaries'!U70,'All Summaries'!U71,'All Summaries'!U76,'All Summaries'!U77,'All Summaries'!U78,'All Summaries'!U79,'All Summaries'!U80,'All Summaries'!U84,'All Summaries'!U85,'All Summaries'!U93,'All Summaries'!U96,'All Summaries'!U109)</f>
        <v>54652</v>
      </c>
      <c r="D11" s="470">
        <f>SUM('All Summaries'!W66,'All Summaries'!W68,'All Summaries'!W69,'All Summaries'!W70,'All Summaries'!W71,'All Summaries'!W76,'All Summaries'!W77,'All Summaries'!W78,'All Summaries'!W79,'All Summaries'!W80,'All Summaries'!W84,'All Summaries'!W85,'All Summaries'!W93,'All Summaries'!W96,'All Summaries'!W109)</f>
        <v>54652</v>
      </c>
      <c r="E11" s="265">
        <f>SUM(B11,C11,D11)</f>
        <v>163956</v>
      </c>
    </row>
    <row r="12" spans="1:6" thickBot="1" x14ac:dyDescent="0.4">
      <c r="A12" s="471" t="s">
        <v>111</v>
      </c>
      <c r="B12" s="486">
        <v>0</v>
      </c>
      <c r="C12" s="474">
        <v>0</v>
      </c>
      <c r="D12" s="484">
        <v>0</v>
      </c>
      <c r="E12" s="485">
        <f>SUM(B12:D12)</f>
        <v>0</v>
      </c>
    </row>
    <row r="13" spans="1:6" thickBot="1" x14ac:dyDescent="0.4">
      <c r="A13" s="91" t="s">
        <v>391</v>
      </c>
      <c r="B13" s="475">
        <f>SUM(B11:B12)</f>
        <v>54652</v>
      </c>
      <c r="C13" s="475">
        <f t="shared" ref="C13:E13" si="0">SUM(C11:C12)</f>
        <v>54652</v>
      </c>
      <c r="D13" s="475">
        <f t="shared" si="0"/>
        <v>54652</v>
      </c>
      <c r="E13" s="475">
        <f t="shared" si="0"/>
        <v>163956</v>
      </c>
    </row>
    <row r="16" spans="1:6" thickBot="1" x14ac:dyDescent="0.4">
      <c r="A16" s="192" t="s">
        <v>752</v>
      </c>
    </row>
    <row r="17" spans="1:7" ht="54.95" customHeight="1" thickBot="1" x14ac:dyDescent="0.4">
      <c r="A17" s="458" t="s">
        <v>1300</v>
      </c>
      <c r="B17" s="144" t="s">
        <v>1274</v>
      </c>
      <c r="C17" s="144" t="s">
        <v>1299</v>
      </c>
      <c r="D17" s="144" t="s">
        <v>1282</v>
      </c>
      <c r="E17" s="102" t="s">
        <v>1291</v>
      </c>
      <c r="F17" s="491" t="s">
        <v>1279</v>
      </c>
      <c r="G17" s="495" t="s">
        <v>571</v>
      </c>
    </row>
    <row r="18" spans="1:7" x14ac:dyDescent="0.25">
      <c r="A18" s="880" t="s">
        <v>75</v>
      </c>
      <c r="B18" s="489">
        <v>3</v>
      </c>
      <c r="C18" s="489">
        <v>2</v>
      </c>
      <c r="D18" s="489"/>
      <c r="E18" s="489">
        <v>1</v>
      </c>
      <c r="F18" s="492"/>
      <c r="G18" s="462">
        <f>SUM(B18:F18)</f>
        <v>6</v>
      </c>
    </row>
    <row r="19" spans="1:7" x14ac:dyDescent="0.25">
      <c r="A19" s="864"/>
      <c r="B19" s="408">
        <f>SUM('All Summaries'!AM84,'All Summaries'!AM85,'All Summaries'!AM109)</f>
        <v>31432010</v>
      </c>
      <c r="C19" s="408">
        <f>SUM('All Summaries'!AM66,'All Summaries'!AM69)</f>
        <v>20095165.854418527</v>
      </c>
      <c r="D19" s="408"/>
      <c r="E19" s="408">
        <f>SUM('All Summaries'!AM70)</f>
        <v>11289285.506511401</v>
      </c>
      <c r="F19" s="493"/>
      <c r="G19" s="460">
        <f t="shared" ref="G19:G27" si="1">SUM(B19:F19)</f>
        <v>62816461.360929936</v>
      </c>
    </row>
    <row r="20" spans="1:7" x14ac:dyDescent="0.25">
      <c r="A20" s="865" t="s">
        <v>1304</v>
      </c>
      <c r="B20" s="478">
        <v>1</v>
      </c>
      <c r="C20" s="408"/>
      <c r="D20" s="408"/>
      <c r="E20" s="408"/>
      <c r="F20" s="493"/>
      <c r="G20" s="462">
        <f t="shared" si="1"/>
        <v>1</v>
      </c>
    </row>
    <row r="21" spans="1:7" x14ac:dyDescent="0.25">
      <c r="A21" s="864"/>
      <c r="B21" s="408">
        <f>SUM('All Summaries'!AM93)</f>
        <v>339751</v>
      </c>
      <c r="C21" s="408"/>
      <c r="D21" s="408"/>
      <c r="E21" s="408"/>
      <c r="F21" s="493"/>
      <c r="G21" s="460">
        <f t="shared" si="1"/>
        <v>339751</v>
      </c>
    </row>
    <row r="22" spans="1:7" x14ac:dyDescent="0.25">
      <c r="A22" s="865" t="s">
        <v>415</v>
      </c>
      <c r="B22" s="478">
        <v>3</v>
      </c>
      <c r="C22" s="408"/>
      <c r="D22" s="408"/>
      <c r="E22" s="408"/>
      <c r="F22" s="493"/>
      <c r="G22" s="462">
        <f t="shared" si="1"/>
        <v>3</v>
      </c>
    </row>
    <row r="23" spans="1:7" x14ac:dyDescent="0.25">
      <c r="A23" s="864"/>
      <c r="B23" s="408">
        <f>SUM('All Summaries'!AM76,'All Summaries'!AM79,'All Summaries'!AM96)</f>
        <v>21184010</v>
      </c>
      <c r="C23" s="408"/>
      <c r="D23" s="408"/>
      <c r="E23" s="408"/>
      <c r="F23" s="493"/>
      <c r="G23" s="460">
        <f t="shared" si="1"/>
        <v>21184010</v>
      </c>
    </row>
    <row r="24" spans="1:7" x14ac:dyDescent="0.25">
      <c r="A24" s="865" t="s">
        <v>1303</v>
      </c>
      <c r="B24" s="461">
        <v>1</v>
      </c>
      <c r="C24" s="408"/>
      <c r="D24" s="478"/>
      <c r="E24" s="478"/>
      <c r="F24" s="494">
        <v>1</v>
      </c>
      <c r="G24" s="462">
        <f t="shared" si="1"/>
        <v>2</v>
      </c>
    </row>
    <row r="25" spans="1:7" x14ac:dyDescent="0.25">
      <c r="A25" s="864"/>
      <c r="B25" s="408">
        <f>SUM('All Summaries'!AM68)</f>
        <v>11206563.30565525</v>
      </c>
      <c r="C25" s="408"/>
      <c r="D25" s="408"/>
      <c r="E25" s="408"/>
      <c r="F25" s="493">
        <f>SUM('All Summaries'!AM71)</f>
        <v>3103775.8019121243</v>
      </c>
      <c r="G25" s="460">
        <f t="shared" si="1"/>
        <v>14310339.107567374</v>
      </c>
    </row>
    <row r="26" spans="1:7" x14ac:dyDescent="0.25">
      <c r="A26" s="865" t="s">
        <v>434</v>
      </c>
      <c r="B26" s="463"/>
      <c r="C26" s="409"/>
      <c r="D26" s="463">
        <v>3</v>
      </c>
      <c r="E26" s="488"/>
      <c r="F26" s="494"/>
      <c r="G26" s="462">
        <f t="shared" si="1"/>
        <v>3</v>
      </c>
    </row>
    <row r="27" spans="1:7" ht="15.75" thickBot="1" x14ac:dyDescent="0.3">
      <c r="A27" s="880"/>
      <c r="B27" s="409"/>
      <c r="C27" s="409"/>
      <c r="D27" s="409">
        <f>SUM('All Summaries'!AM77,'All Summaries'!AM78,'All Summaries'!AM80)</f>
        <v>37127848.130000003</v>
      </c>
      <c r="E27" s="409"/>
      <c r="F27" s="490"/>
      <c r="G27" s="449">
        <f t="shared" si="1"/>
        <v>37127848.130000003</v>
      </c>
    </row>
    <row r="28" spans="1:7" x14ac:dyDescent="0.25">
      <c r="A28" s="868" t="s">
        <v>391</v>
      </c>
      <c r="B28" s="497">
        <f>SUM(B18,B20,B22,B24,B26)</f>
        <v>8</v>
      </c>
      <c r="C28" s="496">
        <f t="shared" ref="C28:F28" si="2">SUM(C18,C20,C22,C24,C26)</f>
        <v>2</v>
      </c>
      <c r="D28" s="496">
        <f t="shared" si="2"/>
        <v>3</v>
      </c>
      <c r="E28" s="496">
        <f t="shared" si="2"/>
        <v>1</v>
      </c>
      <c r="F28" s="496">
        <f t="shared" si="2"/>
        <v>1</v>
      </c>
      <c r="G28" s="498">
        <f>SUM(B28:F28)</f>
        <v>15</v>
      </c>
    </row>
    <row r="29" spans="1:7" ht="15.75" thickBot="1" x14ac:dyDescent="0.3">
      <c r="A29" s="869"/>
      <c r="B29" s="291">
        <f>SUM(B19,B21,B23,B25,B27)</f>
        <v>64162334.305655248</v>
      </c>
      <c r="C29" s="116">
        <f t="shared" ref="C29:F29" si="3">SUM(C19,C21,C23,C25,C27)</f>
        <v>20095165.854418527</v>
      </c>
      <c r="D29" s="116">
        <f t="shared" si="3"/>
        <v>37127848.130000003</v>
      </c>
      <c r="E29" s="116">
        <f t="shared" si="3"/>
        <v>11289285.506511401</v>
      </c>
      <c r="F29" s="116">
        <f t="shared" si="3"/>
        <v>3103775.8019121243</v>
      </c>
      <c r="G29" s="499">
        <f>SUM(G19,G21,G23,G25,G27)</f>
        <v>135778409.5984973</v>
      </c>
    </row>
    <row r="30" spans="1:7" ht="14.45" x14ac:dyDescent="0.35">
      <c r="D30" s="500"/>
    </row>
  </sheetData>
  <mergeCells count="6">
    <mergeCell ref="A18:A19"/>
    <mergeCell ref="A24:A25"/>
    <mergeCell ref="A26:A27"/>
    <mergeCell ref="A28:A29"/>
    <mergeCell ref="A20:A21"/>
    <mergeCell ref="A22:A23"/>
  </mergeCells>
  <pageMargins left="0.7" right="0.7" top="0.75" bottom="0.75" header="0.3" footer="0.3"/>
  <pageSetup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C4" zoomScale="80" zoomScaleNormal="80" workbookViewId="0">
      <selection activeCell="E27" sqref="E27"/>
    </sheetView>
  </sheetViews>
  <sheetFormatPr defaultRowHeight="15" x14ac:dyDescent="0.25"/>
  <cols>
    <col min="1" max="1" width="22.42578125" customWidth="1"/>
    <col min="2" max="2" width="15.28515625" bestFit="1" customWidth="1"/>
    <col min="3" max="3" width="16.7109375" bestFit="1" customWidth="1"/>
    <col min="4" max="4" width="19.7109375" customWidth="1"/>
    <col min="5" max="5" width="18.5703125" customWidth="1"/>
    <col min="6" max="6" width="16" bestFit="1" customWidth="1"/>
    <col min="7" max="7" width="14.140625" customWidth="1"/>
    <col min="8" max="8" width="19" customWidth="1"/>
  </cols>
  <sheetData>
    <row r="1" spans="1:8" ht="74.25" customHeight="1" thickBot="1" x14ac:dyDescent="0.4">
      <c r="A1" s="79" t="s">
        <v>1305</v>
      </c>
      <c r="B1" s="80" t="s">
        <v>389</v>
      </c>
      <c r="C1" s="80" t="s">
        <v>563</v>
      </c>
      <c r="D1" s="129" t="s">
        <v>1307</v>
      </c>
      <c r="E1" s="129" t="s">
        <v>1271</v>
      </c>
      <c r="F1" s="130" t="s">
        <v>1272</v>
      </c>
      <c r="H1" s="152"/>
    </row>
    <row r="2" spans="1:8" ht="14.45" x14ac:dyDescent="0.35">
      <c r="A2" s="131" t="s">
        <v>1031</v>
      </c>
      <c r="B2" s="108">
        <f>5</f>
        <v>5</v>
      </c>
      <c r="C2" s="108">
        <v>5</v>
      </c>
      <c r="D2" s="132">
        <f>SUM('All Summaries'!AM169,'All Summaries'!AM170,'All Summaries'!AM171,'All Summaries'!AM172,'All Summaries'!AM175)</f>
        <v>51552742.848658197</v>
      </c>
      <c r="E2" s="133">
        <f>SUM('[2]Unclassified Project Summaries'!X2+'[2]Unclassified Project Summaries'!X3+'[2]Unclassified Project Summaries'!X4+'[2]Unclassified Project Summaries'!X5)</f>
        <v>22740</v>
      </c>
      <c r="F2" s="134">
        <f>SUM('[2]Unclassified Project Summaries'!X8)</f>
        <v>30000</v>
      </c>
    </row>
    <row r="3" spans="1:8" thickBot="1" x14ac:dyDescent="0.4">
      <c r="A3" s="99" t="str">
        <f>'[2]Unclassified Project Summaries'!H7</f>
        <v>Pharmacy Dispensing</v>
      </c>
      <c r="B3" s="135">
        <f>2</f>
        <v>2</v>
      </c>
      <c r="C3" s="135">
        <v>2</v>
      </c>
      <c r="D3" s="136">
        <f>SUM('All Summaries'!AM173,'All Summaries'!AM174)</f>
        <v>35691559.079999998</v>
      </c>
      <c r="E3" s="137">
        <f>SUM('[2]Unclassified Project Summaries'!X6)</f>
        <v>248772</v>
      </c>
      <c r="F3" s="138">
        <f>SUM('[2]Unclassified Project Summaries'!X7)</f>
        <v>348000</v>
      </c>
    </row>
    <row r="4" spans="1:8" thickBot="1" x14ac:dyDescent="0.4">
      <c r="A4" s="91" t="s">
        <v>391</v>
      </c>
      <c r="B4" s="501">
        <f>SUM(B2:B3)</f>
        <v>7</v>
      </c>
      <c r="C4" s="501">
        <f>SUM(C2:C3)</f>
        <v>7</v>
      </c>
      <c r="D4" s="507">
        <f>SUM(D2:D3)</f>
        <v>87244301.928658187</v>
      </c>
      <c r="E4" s="502">
        <f>SUM(E2:E3)</f>
        <v>271512</v>
      </c>
      <c r="F4" s="503">
        <f>SUM(F2:F3)</f>
        <v>378000</v>
      </c>
    </row>
    <row r="7" spans="1:8" thickBot="1" x14ac:dyDescent="0.4"/>
    <row r="8" spans="1:8" thickBot="1" x14ac:dyDescent="0.4">
      <c r="A8" s="79" t="s">
        <v>392</v>
      </c>
      <c r="B8" s="80" t="s">
        <v>566</v>
      </c>
      <c r="C8" s="80" t="s">
        <v>567</v>
      </c>
      <c r="D8" s="390" t="s">
        <v>568</v>
      </c>
      <c r="E8" s="81" t="s">
        <v>1308</v>
      </c>
    </row>
    <row r="9" spans="1:8" ht="14.45" x14ac:dyDescent="0.35">
      <c r="A9" s="139" t="s">
        <v>189</v>
      </c>
      <c r="B9" s="504">
        <f>SUM('[2]Unclassified Project Summaries'!U2:U6)</f>
        <v>32916</v>
      </c>
      <c r="C9" s="504">
        <f>SUM('[2]Unclassified Project Summaries'!V2:V6)</f>
        <v>86933</v>
      </c>
      <c r="D9" s="504">
        <f>SUM('[2]Unclassified Project Summaries'!W2:W6)</f>
        <v>151663</v>
      </c>
      <c r="E9" s="505">
        <f>SUM('[2]Unclassified Project Summaries'!X2:X6)</f>
        <v>271512</v>
      </c>
    </row>
    <row r="10" spans="1:8" thickBot="1" x14ac:dyDescent="0.4">
      <c r="A10" s="140" t="s">
        <v>111</v>
      </c>
      <c r="B10" s="402">
        <f>SUM('[2]Unclassified Project Summaries'!U7:U8)</f>
        <v>24000</v>
      </c>
      <c r="C10" s="402">
        <f>SUM('[2]Unclassified Project Summaries'!V7:V8)</f>
        <v>108000</v>
      </c>
      <c r="D10" s="402">
        <f>SUM('[2]Unclassified Project Summaries'!W7:W8)</f>
        <v>246000</v>
      </c>
      <c r="E10" s="403">
        <f>SUM('[2]Unclassified Project Summaries'!X7:X8)</f>
        <v>378000</v>
      </c>
    </row>
    <row r="11" spans="1:8" thickBot="1" x14ac:dyDescent="0.4">
      <c r="A11" s="91" t="s">
        <v>391</v>
      </c>
      <c r="B11" s="405">
        <f>SUM(B9:B10)</f>
        <v>56916</v>
      </c>
      <c r="C11" s="405">
        <f t="shared" ref="C11:E11" si="0">SUM(C9:C10)</f>
        <v>194933</v>
      </c>
      <c r="D11" s="405">
        <f t="shared" si="0"/>
        <v>397663</v>
      </c>
      <c r="E11" s="406">
        <f t="shared" si="0"/>
        <v>649512</v>
      </c>
    </row>
    <row r="14" spans="1:8" thickBot="1" x14ac:dyDescent="0.4">
      <c r="A14" s="141" t="s">
        <v>752</v>
      </c>
    </row>
    <row r="15" spans="1:8" ht="72.95" thickBot="1" x14ac:dyDescent="0.4">
      <c r="A15" s="142" t="s">
        <v>977</v>
      </c>
      <c r="B15" s="143" t="s">
        <v>1274</v>
      </c>
      <c r="C15" s="144" t="s">
        <v>1275</v>
      </c>
      <c r="D15" s="144" t="s">
        <v>1276</v>
      </c>
      <c r="E15" s="144" t="s">
        <v>1309</v>
      </c>
      <c r="F15" s="144" t="s">
        <v>1279</v>
      </c>
      <c r="G15" s="445" t="s">
        <v>571</v>
      </c>
    </row>
    <row r="16" spans="1:8" x14ac:dyDescent="0.25">
      <c r="A16" s="881" t="s">
        <v>1306</v>
      </c>
      <c r="B16" s="146">
        <v>1</v>
      </c>
      <c r="C16" s="147">
        <v>1</v>
      </c>
      <c r="D16" s="148">
        <v>2</v>
      </c>
      <c r="E16" s="148"/>
      <c r="F16" s="148">
        <v>1</v>
      </c>
      <c r="G16" s="149">
        <f t="shared" ref="G16:G21" si="1">SUM(B16,C16,D16,E16,F16)</f>
        <v>5</v>
      </c>
    </row>
    <row r="17" spans="1:7" x14ac:dyDescent="0.25">
      <c r="A17" s="882"/>
      <c r="B17" s="508">
        <f>SUM('All Summaries'!AM172)</f>
        <v>34811992</v>
      </c>
      <c r="C17" s="508">
        <f>SUM('All Summaries'!AM169)</f>
        <v>11293841.93</v>
      </c>
      <c r="D17" s="508">
        <f>SUM('All Summaries'!AM170,'All Summaries'!AM171)</f>
        <v>4543175.9186581988</v>
      </c>
      <c r="E17" s="150"/>
      <c r="F17" s="508">
        <f>SUM('All Summaries'!AM175)</f>
        <v>903733</v>
      </c>
      <c r="G17" s="509">
        <f t="shared" si="1"/>
        <v>51552742.848658197</v>
      </c>
    </row>
    <row r="18" spans="1:7" x14ac:dyDescent="0.25">
      <c r="A18" s="883" t="s">
        <v>952</v>
      </c>
      <c r="B18" s="153"/>
      <c r="C18" s="153"/>
      <c r="D18" s="153"/>
      <c r="E18" s="153">
        <v>1</v>
      </c>
      <c r="F18" s="153">
        <v>1</v>
      </c>
      <c r="G18" s="154">
        <f t="shared" si="1"/>
        <v>2</v>
      </c>
    </row>
    <row r="19" spans="1:7" ht="15.75" thickBot="1" x14ac:dyDescent="0.3">
      <c r="A19" s="884"/>
      <c r="B19" s="155"/>
      <c r="C19" s="155"/>
      <c r="D19" s="155"/>
      <c r="E19" s="510">
        <f>SUM('All Summaries'!AM173)</f>
        <v>34978037</v>
      </c>
      <c r="F19" s="510">
        <f>SUM('All Summaries'!AM174)</f>
        <v>713522.08</v>
      </c>
      <c r="G19" s="151">
        <f t="shared" si="1"/>
        <v>35691559.079999998</v>
      </c>
    </row>
    <row r="20" spans="1:7" x14ac:dyDescent="0.25">
      <c r="A20" s="868" t="s">
        <v>391</v>
      </c>
      <c r="B20" s="420">
        <f>SUM(B16+B18)</f>
        <v>1</v>
      </c>
      <c r="C20" s="420">
        <f t="shared" ref="C20:D21" si="2">SUM(C16+C18)</f>
        <v>1</v>
      </c>
      <c r="D20" s="420">
        <f t="shared" si="2"/>
        <v>2</v>
      </c>
      <c r="E20" s="420">
        <f t="shared" ref="E20:F20" si="3">SUM(E16+E18)</f>
        <v>1</v>
      </c>
      <c r="F20" s="420">
        <f t="shared" si="3"/>
        <v>2</v>
      </c>
      <c r="G20" s="434">
        <f t="shared" si="1"/>
        <v>7</v>
      </c>
    </row>
    <row r="21" spans="1:7" ht="15.75" thickBot="1" x14ac:dyDescent="0.3">
      <c r="A21" s="869"/>
      <c r="B21" s="116">
        <f>SUM(B17+B19)</f>
        <v>34811992</v>
      </c>
      <c r="C21" s="291">
        <f t="shared" si="2"/>
        <v>11293841.93</v>
      </c>
      <c r="D21" s="291">
        <f t="shared" si="2"/>
        <v>4543175.9186581988</v>
      </c>
      <c r="E21" s="291">
        <f t="shared" ref="E21" si="4">SUM(E17+E19)</f>
        <v>34978037</v>
      </c>
      <c r="F21" s="291">
        <f>SUM(F17+F19)</f>
        <v>1617255.08</v>
      </c>
      <c r="G21" s="506">
        <f t="shared" si="1"/>
        <v>87244301.928658202</v>
      </c>
    </row>
  </sheetData>
  <mergeCells count="3">
    <mergeCell ref="A16:A17"/>
    <mergeCell ref="A18:A19"/>
    <mergeCell ref="A20:A21"/>
  </mergeCells>
  <pageMargins left="0.7" right="0.7" top="0.75" bottom="0.75" header="0.3" footer="0.3"/>
  <pageSetup orientation="landscape" r:id="rId1"/>
  <headerFooter>
    <oddHeader>&amp;CUNCATEGORIZED PROJECTS</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zoomScale="80" zoomScaleNormal="80" workbookViewId="0">
      <pane ySplit="1" topLeftCell="A47" activePane="bottomLeft" state="frozen"/>
      <selection pane="bottomLeft" activeCell="E10" sqref="E10"/>
    </sheetView>
  </sheetViews>
  <sheetFormatPr defaultColWidth="8.7109375" defaultRowHeight="15" x14ac:dyDescent="0.25"/>
  <cols>
    <col min="1" max="1" width="18.42578125" style="177" customWidth="1"/>
    <col min="2" max="2" width="21.42578125" style="177" customWidth="1"/>
    <col min="3" max="3" width="15.5703125" style="177" customWidth="1"/>
    <col min="4" max="4" width="17.5703125" style="177" customWidth="1"/>
    <col min="5" max="7" width="16.140625" style="177" customWidth="1"/>
    <col min="8" max="8" width="16.85546875" style="177" customWidth="1"/>
    <col min="9" max="9" width="17.28515625" style="177" customWidth="1"/>
    <col min="10" max="10" width="18.42578125" style="177" customWidth="1"/>
    <col min="11" max="11" width="17" style="177" customWidth="1"/>
    <col min="12" max="12" width="18.5703125" style="177" customWidth="1"/>
    <col min="13" max="16384" width="8.7109375" style="177"/>
  </cols>
  <sheetData>
    <row r="1" spans="1:12" s="412" customFormat="1" ht="45" customHeight="1" thickBot="1" x14ac:dyDescent="0.4">
      <c r="A1" s="513" t="s">
        <v>1021</v>
      </c>
      <c r="B1" s="514" t="s">
        <v>1312</v>
      </c>
      <c r="C1" s="515" t="s">
        <v>1274</v>
      </c>
      <c r="D1" s="515" t="s">
        <v>1275</v>
      </c>
      <c r="E1" s="515" t="s">
        <v>1276</v>
      </c>
      <c r="F1" s="515" t="s">
        <v>1282</v>
      </c>
      <c r="G1" s="515" t="s">
        <v>1309</v>
      </c>
      <c r="H1" s="515" t="s">
        <v>1277</v>
      </c>
      <c r="I1" s="516" t="s">
        <v>1278</v>
      </c>
      <c r="J1" s="516" t="s">
        <v>1279</v>
      </c>
      <c r="K1" s="516" t="s">
        <v>1292</v>
      </c>
      <c r="L1" s="517" t="s">
        <v>571</v>
      </c>
    </row>
    <row r="2" spans="1:12" x14ac:dyDescent="0.25">
      <c r="A2" s="900" t="s">
        <v>339</v>
      </c>
      <c r="B2" s="896" t="s">
        <v>120</v>
      </c>
      <c r="C2" s="518">
        <v>1</v>
      </c>
      <c r="D2" s="519"/>
      <c r="E2" s="519"/>
      <c r="F2" s="519"/>
      <c r="G2" s="519"/>
      <c r="H2" s="519"/>
      <c r="I2" s="519"/>
      <c r="J2" s="519"/>
      <c r="K2" s="519"/>
      <c r="L2" s="520">
        <v>1</v>
      </c>
    </row>
    <row r="3" spans="1:12" s="524" customFormat="1" x14ac:dyDescent="0.25">
      <c r="A3" s="900"/>
      <c r="B3" s="922"/>
      <c r="C3" s="521">
        <v>515685</v>
      </c>
      <c r="D3" s="522"/>
      <c r="E3" s="522"/>
      <c r="F3" s="522"/>
      <c r="G3" s="522"/>
      <c r="H3" s="522"/>
      <c r="I3" s="522"/>
      <c r="J3" s="522"/>
      <c r="K3" s="522"/>
      <c r="L3" s="523">
        <v>515685</v>
      </c>
    </row>
    <row r="4" spans="1:12" x14ac:dyDescent="0.25">
      <c r="A4" s="900"/>
      <c r="B4" s="922" t="s">
        <v>8</v>
      </c>
      <c r="C4" s="525">
        <v>5</v>
      </c>
      <c r="D4" s="526">
        <v>3</v>
      </c>
      <c r="E4" s="526"/>
      <c r="F4" s="526"/>
      <c r="G4" s="526"/>
      <c r="H4" s="526"/>
      <c r="I4" s="526">
        <v>6</v>
      </c>
      <c r="J4" s="526">
        <v>1</v>
      </c>
      <c r="K4" s="526"/>
      <c r="L4" s="527">
        <v>15</v>
      </c>
    </row>
    <row r="5" spans="1:12" s="524" customFormat="1" x14ac:dyDescent="0.25">
      <c r="A5" s="900"/>
      <c r="B5" s="922"/>
      <c r="C5" s="521">
        <v>70138528.659999996</v>
      </c>
      <c r="D5" s="522">
        <v>35053300.490000002</v>
      </c>
      <c r="E5" s="522"/>
      <c r="F5" s="522"/>
      <c r="G5" s="522"/>
      <c r="H5" s="522"/>
      <c r="I5" s="522">
        <v>52239538.679999992</v>
      </c>
      <c r="J5" s="522">
        <v>11394316</v>
      </c>
      <c r="K5" s="522"/>
      <c r="L5" s="523">
        <v>168825683.82999998</v>
      </c>
    </row>
    <row r="6" spans="1:12" x14ac:dyDescent="0.25">
      <c r="A6" s="900"/>
      <c r="B6" s="923" t="s">
        <v>17</v>
      </c>
      <c r="C6" s="525">
        <v>2</v>
      </c>
      <c r="D6" s="526">
        <v>8</v>
      </c>
      <c r="E6" s="526"/>
      <c r="F6" s="526"/>
      <c r="G6" s="526"/>
      <c r="H6" s="526">
        <v>3</v>
      </c>
      <c r="I6" s="526">
        <v>4</v>
      </c>
      <c r="J6" s="526"/>
      <c r="K6" s="526"/>
      <c r="L6" s="528">
        <v>17</v>
      </c>
    </row>
    <row r="7" spans="1:12" s="524" customFormat="1" x14ac:dyDescent="0.25">
      <c r="A7" s="900"/>
      <c r="B7" s="923"/>
      <c r="C7" s="521">
        <v>21893401</v>
      </c>
      <c r="D7" s="522">
        <v>93750957.100000009</v>
      </c>
      <c r="E7" s="522"/>
      <c r="F7" s="522"/>
      <c r="G7" s="522"/>
      <c r="H7" s="522">
        <v>35823598.149999999</v>
      </c>
      <c r="I7" s="522">
        <v>15683862.029999999</v>
      </c>
      <c r="J7" s="522"/>
      <c r="K7" s="522"/>
      <c r="L7" s="523">
        <v>167151818.28</v>
      </c>
    </row>
    <row r="8" spans="1:12" x14ac:dyDescent="0.25">
      <c r="A8" s="900"/>
      <c r="B8" s="923" t="s">
        <v>75</v>
      </c>
      <c r="C8" s="525"/>
      <c r="D8" s="526"/>
      <c r="E8" s="526">
        <v>1</v>
      </c>
      <c r="F8" s="526"/>
      <c r="G8" s="526"/>
      <c r="H8" s="526"/>
      <c r="I8" s="526"/>
      <c r="J8" s="526"/>
      <c r="K8" s="526"/>
      <c r="L8" s="527">
        <v>1</v>
      </c>
    </row>
    <row r="9" spans="1:12" s="524" customFormat="1" x14ac:dyDescent="0.25">
      <c r="A9" s="900"/>
      <c r="B9" s="923"/>
      <c r="C9" s="521"/>
      <c r="D9" s="522"/>
      <c r="E9" s="522">
        <v>230392</v>
      </c>
      <c r="F9" s="522"/>
      <c r="G9" s="522"/>
      <c r="H9" s="522"/>
      <c r="I9" s="522"/>
      <c r="J9" s="522"/>
      <c r="K9" s="522"/>
      <c r="L9" s="523">
        <v>230392</v>
      </c>
    </row>
    <row r="10" spans="1:12" x14ac:dyDescent="0.25">
      <c r="A10" s="900"/>
      <c r="B10" s="922" t="s">
        <v>51</v>
      </c>
      <c r="C10" s="525">
        <v>4</v>
      </c>
      <c r="D10" s="526">
        <v>8</v>
      </c>
      <c r="E10" s="526">
        <v>1</v>
      </c>
      <c r="F10" s="526"/>
      <c r="G10" s="526"/>
      <c r="H10" s="526">
        <v>1</v>
      </c>
      <c r="I10" s="526"/>
      <c r="J10" s="526"/>
      <c r="K10" s="526"/>
      <c r="L10" s="527">
        <v>14</v>
      </c>
    </row>
    <row r="11" spans="1:12" s="524" customFormat="1" x14ac:dyDescent="0.25">
      <c r="A11" s="900"/>
      <c r="B11" s="922"/>
      <c r="C11" s="521">
        <v>41171927.420000002</v>
      </c>
      <c r="D11" s="522">
        <v>105147322.92</v>
      </c>
      <c r="E11" s="522">
        <v>7582304.6600000001</v>
      </c>
      <c r="F11" s="522"/>
      <c r="G11" s="522"/>
      <c r="H11" s="522">
        <v>18040966</v>
      </c>
      <c r="I11" s="522"/>
      <c r="J11" s="522"/>
      <c r="K11" s="522"/>
      <c r="L11" s="523">
        <v>171942521</v>
      </c>
    </row>
    <row r="12" spans="1:12" x14ac:dyDescent="0.25">
      <c r="A12" s="900"/>
      <c r="B12" s="922" t="s">
        <v>1273</v>
      </c>
      <c r="C12" s="525">
        <v>7</v>
      </c>
      <c r="D12" s="526"/>
      <c r="E12" s="526"/>
      <c r="F12" s="526"/>
      <c r="G12" s="526"/>
      <c r="H12" s="526">
        <v>1</v>
      </c>
      <c r="I12" s="526"/>
      <c r="J12" s="526"/>
      <c r="K12" s="526"/>
      <c r="L12" s="527">
        <v>8</v>
      </c>
    </row>
    <row r="13" spans="1:12" s="524" customFormat="1" x14ac:dyDescent="0.25">
      <c r="A13" s="900"/>
      <c r="B13" s="922"/>
      <c r="C13" s="521">
        <v>66935270.519999996</v>
      </c>
      <c r="D13" s="522"/>
      <c r="E13" s="522"/>
      <c r="F13" s="522"/>
      <c r="G13" s="522"/>
      <c r="H13" s="522">
        <v>2850091.96</v>
      </c>
      <c r="I13" s="522"/>
      <c r="J13" s="522"/>
      <c r="K13" s="522"/>
      <c r="L13" s="523">
        <v>69785362.479999989</v>
      </c>
    </row>
    <row r="14" spans="1:12" ht="14.45" customHeight="1" x14ac:dyDescent="0.25">
      <c r="A14" s="900"/>
      <c r="B14" s="915" t="s">
        <v>1025</v>
      </c>
      <c r="C14" s="525">
        <v>1</v>
      </c>
      <c r="D14" s="526"/>
      <c r="E14" s="526"/>
      <c r="F14" s="526"/>
      <c r="G14" s="526"/>
      <c r="H14" s="526"/>
      <c r="I14" s="526"/>
      <c r="J14" s="526"/>
      <c r="K14" s="526"/>
      <c r="L14" s="527">
        <v>1</v>
      </c>
    </row>
    <row r="15" spans="1:12" s="524" customFormat="1" ht="15.75" thickBot="1" x14ac:dyDescent="0.3">
      <c r="A15" s="901"/>
      <c r="B15" s="915"/>
      <c r="C15" s="529">
        <v>4652262</v>
      </c>
      <c r="D15" s="530"/>
      <c r="E15" s="530"/>
      <c r="F15" s="530"/>
      <c r="G15" s="530"/>
      <c r="H15" s="530"/>
      <c r="I15" s="530"/>
      <c r="J15" s="530"/>
      <c r="K15" s="530"/>
      <c r="L15" s="531">
        <v>4652262</v>
      </c>
    </row>
    <row r="16" spans="1:12" x14ac:dyDescent="0.25">
      <c r="A16" s="916" t="s">
        <v>397</v>
      </c>
      <c r="B16" s="919" t="s">
        <v>75</v>
      </c>
      <c r="C16" s="518">
        <v>1</v>
      </c>
      <c r="D16" s="519">
        <v>1</v>
      </c>
      <c r="E16" s="519"/>
      <c r="F16" s="519"/>
      <c r="G16" s="519"/>
      <c r="H16" s="519"/>
      <c r="I16" s="519"/>
      <c r="J16" s="519"/>
      <c r="K16" s="519"/>
      <c r="L16" s="519">
        <v>2</v>
      </c>
    </row>
    <row r="17" spans="1:12" s="524" customFormat="1" x14ac:dyDescent="0.25">
      <c r="A17" s="917"/>
      <c r="B17" s="920"/>
      <c r="C17" s="521">
        <v>3275410</v>
      </c>
      <c r="D17" s="522">
        <v>410719</v>
      </c>
      <c r="E17" s="522"/>
      <c r="F17" s="522"/>
      <c r="G17" s="522"/>
      <c r="H17" s="522"/>
      <c r="I17" s="522"/>
      <c r="J17" s="522"/>
      <c r="K17" s="522"/>
      <c r="L17" s="522">
        <v>3686129</v>
      </c>
    </row>
    <row r="18" spans="1:12" x14ac:dyDescent="0.25">
      <c r="A18" s="917"/>
      <c r="B18" s="921" t="s">
        <v>1020</v>
      </c>
      <c r="C18" s="525">
        <v>3</v>
      </c>
      <c r="D18" s="526">
        <v>3</v>
      </c>
      <c r="E18" s="526"/>
      <c r="F18" s="526"/>
      <c r="G18" s="526"/>
      <c r="H18" s="526"/>
      <c r="I18" s="526"/>
      <c r="J18" s="526"/>
      <c r="K18" s="526"/>
      <c r="L18" s="526">
        <v>6</v>
      </c>
    </row>
    <row r="19" spans="1:12" s="524" customFormat="1" x14ac:dyDescent="0.25">
      <c r="A19" s="917"/>
      <c r="B19" s="921"/>
      <c r="C19" s="521">
        <v>32070257.582491584</v>
      </c>
      <c r="D19" s="522">
        <v>21439457</v>
      </c>
      <c r="E19" s="522"/>
      <c r="F19" s="522"/>
      <c r="G19" s="522"/>
      <c r="H19" s="522"/>
      <c r="I19" s="522"/>
      <c r="J19" s="522"/>
      <c r="K19" s="522"/>
      <c r="L19" s="522">
        <v>53509714.582491584</v>
      </c>
    </row>
    <row r="20" spans="1:12" x14ac:dyDescent="0.25">
      <c r="A20" s="917"/>
      <c r="B20" s="921" t="s">
        <v>1255</v>
      </c>
      <c r="C20" s="525">
        <v>1</v>
      </c>
      <c r="D20" s="526"/>
      <c r="E20" s="526"/>
      <c r="F20" s="526"/>
      <c r="G20" s="526"/>
      <c r="H20" s="526"/>
      <c r="I20" s="526"/>
      <c r="J20" s="526"/>
      <c r="K20" s="526"/>
      <c r="L20" s="526">
        <v>1</v>
      </c>
    </row>
    <row r="21" spans="1:12" s="524" customFormat="1" x14ac:dyDescent="0.25">
      <c r="A21" s="917"/>
      <c r="B21" s="921"/>
      <c r="C21" s="521">
        <v>17470564</v>
      </c>
      <c r="D21" s="522"/>
      <c r="E21" s="522"/>
      <c r="F21" s="522"/>
      <c r="G21" s="522"/>
      <c r="H21" s="522"/>
      <c r="I21" s="522"/>
      <c r="J21" s="522"/>
      <c r="K21" s="522"/>
      <c r="L21" s="522">
        <v>17470564</v>
      </c>
    </row>
    <row r="22" spans="1:12" x14ac:dyDescent="0.25">
      <c r="A22" s="917"/>
      <c r="B22" s="920" t="s">
        <v>1023</v>
      </c>
      <c r="C22" s="525"/>
      <c r="D22" s="526"/>
      <c r="E22" s="526"/>
      <c r="F22" s="526">
        <v>1</v>
      </c>
      <c r="G22" s="526"/>
      <c r="H22" s="526"/>
      <c r="I22" s="526"/>
      <c r="J22" s="526"/>
      <c r="K22" s="526"/>
      <c r="L22" s="526">
        <v>1</v>
      </c>
    </row>
    <row r="23" spans="1:12" s="524" customFormat="1" x14ac:dyDescent="0.25">
      <c r="A23" s="917"/>
      <c r="B23" s="920"/>
      <c r="C23" s="521"/>
      <c r="D23" s="522"/>
      <c r="E23" s="522"/>
      <c r="F23" s="522">
        <v>15456990</v>
      </c>
      <c r="G23" s="522"/>
      <c r="H23" s="522"/>
      <c r="I23" s="522"/>
      <c r="J23" s="522"/>
      <c r="K23" s="522"/>
      <c r="L23" s="522">
        <v>15456990</v>
      </c>
    </row>
    <row r="24" spans="1:12" x14ac:dyDescent="0.25">
      <c r="A24" s="917"/>
      <c r="B24" s="920" t="s">
        <v>1025</v>
      </c>
      <c r="C24" s="525">
        <v>2</v>
      </c>
      <c r="D24" s="526">
        <v>1</v>
      </c>
      <c r="E24" s="526"/>
      <c r="F24" s="526"/>
      <c r="G24" s="526"/>
      <c r="H24" s="526"/>
      <c r="I24" s="526"/>
      <c r="J24" s="526"/>
      <c r="K24" s="526"/>
      <c r="L24" s="526">
        <v>3</v>
      </c>
    </row>
    <row r="25" spans="1:12" s="524" customFormat="1" x14ac:dyDescent="0.25">
      <c r="A25" s="917"/>
      <c r="B25" s="920"/>
      <c r="C25" s="521">
        <v>29054716.585937645</v>
      </c>
      <c r="D25" s="522">
        <v>8796756.5999999996</v>
      </c>
      <c r="E25" s="522"/>
      <c r="F25" s="522"/>
      <c r="G25" s="522"/>
      <c r="H25" s="522"/>
      <c r="I25" s="522"/>
      <c r="J25" s="522"/>
      <c r="K25" s="522"/>
      <c r="L25" s="522">
        <v>37851473.185937643</v>
      </c>
    </row>
    <row r="26" spans="1:12" x14ac:dyDescent="0.25">
      <c r="A26" s="917"/>
      <c r="B26" s="920" t="s">
        <v>407</v>
      </c>
      <c r="C26" s="525"/>
      <c r="D26" s="526">
        <v>1</v>
      </c>
      <c r="E26" s="526"/>
      <c r="F26" s="526"/>
      <c r="G26" s="526"/>
      <c r="H26" s="526"/>
      <c r="I26" s="526"/>
      <c r="J26" s="526"/>
      <c r="K26" s="526"/>
      <c r="L26" s="526">
        <v>1</v>
      </c>
    </row>
    <row r="27" spans="1:12" s="524" customFormat="1" ht="15.75" thickBot="1" x14ac:dyDescent="0.3">
      <c r="A27" s="918"/>
      <c r="B27" s="924"/>
      <c r="C27" s="532"/>
      <c r="D27" s="533">
        <v>4723759</v>
      </c>
      <c r="E27" s="533"/>
      <c r="F27" s="533"/>
      <c r="G27" s="533"/>
      <c r="H27" s="533"/>
      <c r="I27" s="533"/>
      <c r="J27" s="533"/>
      <c r="K27" s="533"/>
      <c r="L27" s="533">
        <v>4723759</v>
      </c>
    </row>
    <row r="28" spans="1:12" x14ac:dyDescent="0.25">
      <c r="A28" s="899" t="s">
        <v>1314</v>
      </c>
      <c r="B28" s="902" t="s">
        <v>75</v>
      </c>
      <c r="C28" s="534">
        <v>9</v>
      </c>
      <c r="D28" s="535">
        <v>2</v>
      </c>
      <c r="E28" s="535"/>
      <c r="F28" s="535"/>
      <c r="G28" s="535"/>
      <c r="H28" s="535"/>
      <c r="I28" s="535"/>
      <c r="J28" s="535">
        <v>2</v>
      </c>
      <c r="K28" s="535"/>
      <c r="L28" s="536">
        <v>13</v>
      </c>
    </row>
    <row r="29" spans="1:12" s="524" customFormat="1" x14ac:dyDescent="0.25">
      <c r="A29" s="900"/>
      <c r="B29" s="903"/>
      <c r="C29" s="537">
        <v>90266861.278710261</v>
      </c>
      <c r="D29" s="522">
        <v>31256975</v>
      </c>
      <c r="E29" s="522"/>
      <c r="F29" s="522"/>
      <c r="G29" s="522"/>
      <c r="H29" s="522"/>
      <c r="I29" s="522"/>
      <c r="J29" s="522">
        <v>18109726.234765992</v>
      </c>
      <c r="K29" s="522"/>
      <c r="L29" s="523">
        <v>139633562.51347625</v>
      </c>
    </row>
    <row r="30" spans="1:12" x14ac:dyDescent="0.25">
      <c r="A30" s="900"/>
      <c r="B30" s="914" t="s">
        <v>1298</v>
      </c>
      <c r="C30" s="538">
        <v>1</v>
      </c>
      <c r="D30" s="526"/>
      <c r="E30" s="526"/>
      <c r="F30" s="526"/>
      <c r="G30" s="526"/>
      <c r="H30" s="526"/>
      <c r="I30" s="526"/>
      <c r="J30" s="526">
        <v>1</v>
      </c>
      <c r="K30" s="526"/>
      <c r="L30" s="527">
        <v>2</v>
      </c>
    </row>
    <row r="31" spans="1:12" s="524" customFormat="1" x14ac:dyDescent="0.25">
      <c r="A31" s="900"/>
      <c r="B31" s="903"/>
      <c r="C31" s="537">
        <v>17388804</v>
      </c>
      <c r="D31" s="522"/>
      <c r="E31" s="522"/>
      <c r="F31" s="522"/>
      <c r="G31" s="522"/>
      <c r="H31" s="522"/>
      <c r="I31" s="522"/>
      <c r="J31" s="522">
        <v>19942557.600000001</v>
      </c>
      <c r="K31" s="522"/>
      <c r="L31" s="523">
        <v>37331361.600000001</v>
      </c>
    </row>
    <row r="32" spans="1:12" x14ac:dyDescent="0.25">
      <c r="A32" s="900"/>
      <c r="B32" s="914" t="s">
        <v>1029</v>
      </c>
      <c r="C32" s="538">
        <v>1</v>
      </c>
      <c r="D32" s="526"/>
      <c r="E32" s="526"/>
      <c r="F32" s="526"/>
      <c r="G32" s="526"/>
      <c r="H32" s="526"/>
      <c r="I32" s="526"/>
      <c r="J32" s="526"/>
      <c r="K32" s="526"/>
      <c r="L32" s="527">
        <v>1</v>
      </c>
    </row>
    <row r="33" spans="1:12" s="524" customFormat="1" ht="15.75" thickBot="1" x14ac:dyDescent="0.3">
      <c r="A33" s="901"/>
      <c r="B33" s="904"/>
      <c r="C33" s="539">
        <v>13075176</v>
      </c>
      <c r="D33" s="533"/>
      <c r="E33" s="533"/>
      <c r="F33" s="533"/>
      <c r="G33" s="533"/>
      <c r="H33" s="533"/>
      <c r="I33" s="533"/>
      <c r="J33" s="533"/>
      <c r="K33" s="533"/>
      <c r="L33" s="540">
        <v>13075176</v>
      </c>
    </row>
    <row r="34" spans="1:12" x14ac:dyDescent="0.25">
      <c r="A34" s="899" t="s">
        <v>343</v>
      </c>
      <c r="B34" s="912" t="s">
        <v>358</v>
      </c>
      <c r="C34" s="541">
        <v>1</v>
      </c>
      <c r="D34" s="535"/>
      <c r="E34" s="535"/>
      <c r="F34" s="535"/>
      <c r="G34" s="535"/>
      <c r="H34" s="535"/>
      <c r="I34" s="535"/>
      <c r="J34" s="542">
        <v>1</v>
      </c>
      <c r="K34" s="535"/>
      <c r="L34" s="543">
        <v>2</v>
      </c>
    </row>
    <row r="35" spans="1:12" s="524" customFormat="1" ht="15.75" thickBot="1" x14ac:dyDescent="0.3">
      <c r="A35" s="900"/>
      <c r="B35" s="913"/>
      <c r="C35" s="544">
        <v>13084388</v>
      </c>
      <c r="D35" s="522"/>
      <c r="E35" s="522"/>
      <c r="F35" s="522"/>
      <c r="G35" s="522"/>
      <c r="H35" s="522"/>
      <c r="I35" s="522"/>
      <c r="J35" s="545">
        <v>1494079</v>
      </c>
      <c r="K35" s="522"/>
      <c r="L35" s="546">
        <v>14578467</v>
      </c>
    </row>
    <row r="36" spans="1:12" x14ac:dyDescent="0.25">
      <c r="A36" s="900"/>
      <c r="B36" s="912" t="s">
        <v>1024</v>
      </c>
      <c r="C36" s="547">
        <v>1</v>
      </c>
      <c r="D36" s="526"/>
      <c r="E36" s="526"/>
      <c r="F36" s="526"/>
      <c r="G36" s="526"/>
      <c r="H36" s="526"/>
      <c r="I36" s="526"/>
      <c r="J36" s="548"/>
      <c r="K36" s="526"/>
      <c r="L36" s="549">
        <v>1</v>
      </c>
    </row>
    <row r="37" spans="1:12" s="524" customFormat="1" ht="15.75" thickBot="1" x14ac:dyDescent="0.3">
      <c r="A37" s="901"/>
      <c r="B37" s="913"/>
      <c r="C37" s="550">
        <v>2448444</v>
      </c>
      <c r="D37" s="533"/>
      <c r="E37" s="533"/>
      <c r="F37" s="533"/>
      <c r="G37" s="533"/>
      <c r="H37" s="533"/>
      <c r="I37" s="533"/>
      <c r="J37" s="551"/>
      <c r="K37" s="533"/>
      <c r="L37" s="552">
        <v>2448444</v>
      </c>
    </row>
    <row r="38" spans="1:12" x14ac:dyDescent="0.25">
      <c r="A38" s="899" t="s">
        <v>574</v>
      </c>
      <c r="B38" s="907" t="s">
        <v>1026</v>
      </c>
      <c r="C38" s="553">
        <v>1</v>
      </c>
      <c r="D38" s="554">
        <v>1</v>
      </c>
      <c r="E38" s="554"/>
      <c r="F38" s="554"/>
      <c r="G38" s="554"/>
      <c r="H38" s="554">
        <v>2</v>
      </c>
      <c r="I38" s="554"/>
      <c r="J38" s="554"/>
      <c r="K38" s="554"/>
      <c r="L38" s="555">
        <v>4</v>
      </c>
    </row>
    <row r="39" spans="1:12" s="524" customFormat="1" x14ac:dyDescent="0.25">
      <c r="A39" s="900"/>
      <c r="B39" s="908"/>
      <c r="C39" s="556">
        <v>32989687.670000002</v>
      </c>
      <c r="D39" s="557">
        <v>1422388.31</v>
      </c>
      <c r="E39" s="557"/>
      <c r="F39" s="557"/>
      <c r="G39" s="557"/>
      <c r="H39" s="557">
        <v>37517364.869999997</v>
      </c>
      <c r="I39" s="557"/>
      <c r="J39" s="557"/>
      <c r="K39" s="557"/>
      <c r="L39" s="558">
        <v>71929440.849999994</v>
      </c>
    </row>
    <row r="40" spans="1:12" x14ac:dyDescent="0.25">
      <c r="A40" s="900"/>
      <c r="B40" s="909" t="s">
        <v>575</v>
      </c>
      <c r="C40" s="559">
        <v>15</v>
      </c>
      <c r="D40" s="560">
        <v>8</v>
      </c>
      <c r="E40" s="560">
        <v>1</v>
      </c>
      <c r="F40" s="560"/>
      <c r="G40" s="560"/>
      <c r="H40" s="560">
        <v>2</v>
      </c>
      <c r="I40" s="560"/>
      <c r="J40" s="560">
        <v>1</v>
      </c>
      <c r="K40" s="560">
        <v>1</v>
      </c>
      <c r="L40" s="561">
        <v>28</v>
      </c>
    </row>
    <row r="41" spans="1:12" s="524" customFormat="1" x14ac:dyDescent="0.25">
      <c r="A41" s="900"/>
      <c r="B41" s="908"/>
      <c r="C41" s="556">
        <v>293964598.51999998</v>
      </c>
      <c r="D41" s="557">
        <v>232957194</v>
      </c>
      <c r="E41" s="557">
        <v>11730408.625915317</v>
      </c>
      <c r="F41" s="557"/>
      <c r="G41" s="557"/>
      <c r="H41" s="557">
        <v>5520207</v>
      </c>
      <c r="I41" s="557"/>
      <c r="J41" s="557">
        <v>2825373.88</v>
      </c>
      <c r="K41" s="557">
        <v>5491497</v>
      </c>
      <c r="L41" s="558">
        <v>552489279.02591527</v>
      </c>
    </row>
    <row r="42" spans="1:12" x14ac:dyDescent="0.25">
      <c r="A42" s="900"/>
      <c r="B42" s="910" t="s">
        <v>1027</v>
      </c>
      <c r="C42" s="559">
        <v>2</v>
      </c>
      <c r="D42" s="560"/>
      <c r="E42" s="560"/>
      <c r="F42" s="560"/>
      <c r="G42" s="560"/>
      <c r="H42" s="560"/>
      <c r="I42" s="560"/>
      <c r="J42" s="560"/>
      <c r="K42" s="560"/>
      <c r="L42" s="561">
        <v>2</v>
      </c>
    </row>
    <row r="43" spans="1:12" s="524" customFormat="1" ht="15.75" thickBot="1" x14ac:dyDescent="0.3">
      <c r="A43" s="901"/>
      <c r="B43" s="911"/>
      <c r="C43" s="562">
        <v>21807295.199999999</v>
      </c>
      <c r="D43" s="563"/>
      <c r="E43" s="563"/>
      <c r="F43" s="563"/>
      <c r="G43" s="563"/>
      <c r="H43" s="563"/>
      <c r="I43" s="563"/>
      <c r="J43" s="563"/>
      <c r="K43" s="563"/>
      <c r="L43" s="564">
        <v>21807295.199999999</v>
      </c>
    </row>
    <row r="44" spans="1:12" x14ac:dyDescent="0.25">
      <c r="A44" s="899" t="s">
        <v>759</v>
      </c>
      <c r="B44" s="902" t="s">
        <v>862</v>
      </c>
      <c r="C44" s="553">
        <v>9</v>
      </c>
      <c r="D44" s="554">
        <v>11</v>
      </c>
      <c r="E44" s="554">
        <v>1</v>
      </c>
      <c r="F44" s="554"/>
      <c r="G44" s="554"/>
      <c r="H44" s="554">
        <v>6</v>
      </c>
      <c r="I44" s="554"/>
      <c r="J44" s="554"/>
      <c r="K44" s="554"/>
      <c r="L44" s="555">
        <v>27</v>
      </c>
    </row>
    <row r="45" spans="1:12" s="524" customFormat="1" x14ac:dyDescent="0.25">
      <c r="A45" s="900"/>
      <c r="B45" s="903"/>
      <c r="C45" s="556">
        <v>98341213.769999996</v>
      </c>
      <c r="D45" s="557">
        <v>94598116</v>
      </c>
      <c r="E45" s="557">
        <v>2981600</v>
      </c>
      <c r="F45" s="557"/>
      <c r="G45" s="557"/>
      <c r="H45" s="557">
        <v>59555329</v>
      </c>
      <c r="I45" s="557"/>
      <c r="J45" s="557"/>
      <c r="K45" s="557"/>
      <c r="L45" s="558">
        <v>255476258.76999998</v>
      </c>
    </row>
    <row r="46" spans="1:12" x14ac:dyDescent="0.25">
      <c r="A46" s="900"/>
      <c r="B46" s="904" t="s">
        <v>1028</v>
      </c>
      <c r="C46" s="559">
        <v>2</v>
      </c>
      <c r="D46" s="560"/>
      <c r="E46" s="560"/>
      <c r="F46" s="560"/>
      <c r="G46" s="560"/>
      <c r="H46" s="560"/>
      <c r="I46" s="560"/>
      <c r="J46" s="560"/>
      <c r="K46" s="560"/>
      <c r="L46" s="561">
        <v>2</v>
      </c>
    </row>
    <row r="47" spans="1:12" s="524" customFormat="1" ht="15.75" thickBot="1" x14ac:dyDescent="0.3">
      <c r="A47" s="901"/>
      <c r="B47" s="905"/>
      <c r="C47" s="562">
        <v>2563533</v>
      </c>
      <c r="D47" s="563"/>
      <c r="E47" s="563"/>
      <c r="F47" s="563"/>
      <c r="G47" s="563"/>
      <c r="H47" s="563"/>
      <c r="I47" s="563"/>
      <c r="J47" s="563"/>
      <c r="K47" s="563"/>
      <c r="L47" s="564">
        <v>2563533</v>
      </c>
    </row>
    <row r="48" spans="1:12" x14ac:dyDescent="0.25">
      <c r="A48" s="892" t="s">
        <v>1023</v>
      </c>
      <c r="B48" s="906" t="s">
        <v>75</v>
      </c>
      <c r="C48" s="553">
        <v>3</v>
      </c>
      <c r="D48" s="554">
        <v>2</v>
      </c>
      <c r="E48" s="554"/>
      <c r="F48" s="554"/>
      <c r="G48" s="554"/>
      <c r="H48" s="554">
        <v>1</v>
      </c>
      <c r="I48" s="554"/>
      <c r="J48" s="554"/>
      <c r="K48" s="554"/>
      <c r="L48" s="555">
        <v>6</v>
      </c>
    </row>
    <row r="49" spans="1:12" s="524" customFormat="1" x14ac:dyDescent="0.25">
      <c r="A49" s="893"/>
      <c r="B49" s="890"/>
      <c r="C49" s="556">
        <f>SUM('All Summaries'!AN114,'All Summaries'!AN115,'All Summaries'!AN138)</f>
        <v>1997420</v>
      </c>
      <c r="D49" s="557">
        <f>SUM('All Summaries'!AN96,'All Summaries'!AN99)</f>
        <v>316017</v>
      </c>
      <c r="E49" s="557"/>
      <c r="F49" s="557"/>
      <c r="G49" s="557"/>
      <c r="H49" s="557">
        <v>11289285.506511401</v>
      </c>
      <c r="I49" s="557"/>
      <c r="J49" s="557"/>
      <c r="K49" s="557"/>
      <c r="L49" s="558">
        <v>57667423.360929936</v>
      </c>
    </row>
    <row r="50" spans="1:12" x14ac:dyDescent="0.25">
      <c r="A50" s="893"/>
      <c r="B50" s="889" t="s">
        <v>1304</v>
      </c>
      <c r="C50" s="559">
        <v>1</v>
      </c>
      <c r="D50" s="560"/>
      <c r="E50" s="560"/>
      <c r="F50" s="560"/>
      <c r="G50" s="560"/>
      <c r="H50" s="560"/>
      <c r="I50" s="560"/>
      <c r="J50" s="560"/>
      <c r="K50" s="560"/>
      <c r="L50" s="561">
        <v>1</v>
      </c>
    </row>
    <row r="51" spans="1:12" s="524" customFormat="1" x14ac:dyDescent="0.25">
      <c r="A51" s="893"/>
      <c r="B51" s="890"/>
      <c r="C51" s="556">
        <f>SUM('All Summaries'!AN122)</f>
        <v>698906</v>
      </c>
      <c r="D51" s="557"/>
      <c r="E51" s="557"/>
      <c r="F51" s="557"/>
      <c r="G51" s="557"/>
      <c r="H51" s="557"/>
      <c r="I51" s="557"/>
      <c r="J51" s="557"/>
      <c r="K51" s="557"/>
      <c r="L51" s="558">
        <v>339751</v>
      </c>
    </row>
    <row r="52" spans="1:12" x14ac:dyDescent="0.25">
      <c r="A52" s="893"/>
      <c r="B52" s="889" t="s">
        <v>415</v>
      </c>
      <c r="C52" s="559">
        <v>3</v>
      </c>
      <c r="D52" s="560"/>
      <c r="E52" s="560"/>
      <c r="F52" s="560"/>
      <c r="G52" s="560"/>
      <c r="H52" s="560"/>
      <c r="I52" s="560"/>
      <c r="J52" s="560"/>
      <c r="K52" s="560"/>
      <c r="L52" s="561">
        <v>3</v>
      </c>
    </row>
    <row r="53" spans="1:12" s="524" customFormat="1" x14ac:dyDescent="0.25">
      <c r="A53" s="893"/>
      <c r="B53" s="890"/>
      <c r="C53" s="556">
        <f>SUM('All Summaries'!AN106,'All Summaries'!AN109,'All Summaries'!AN125)</f>
        <v>710324.33</v>
      </c>
      <c r="D53" s="557"/>
      <c r="E53" s="557"/>
      <c r="F53" s="557"/>
      <c r="G53" s="557"/>
      <c r="H53" s="557"/>
      <c r="I53" s="557"/>
      <c r="J53" s="557"/>
      <c r="K53" s="557"/>
      <c r="L53" s="558">
        <v>21184010</v>
      </c>
    </row>
    <row r="54" spans="1:12" x14ac:dyDescent="0.25">
      <c r="A54" s="893"/>
      <c r="B54" s="889" t="s">
        <v>1303</v>
      </c>
      <c r="C54" s="559">
        <v>1</v>
      </c>
      <c r="D54" s="560"/>
      <c r="E54" s="560"/>
      <c r="F54" s="560"/>
      <c r="G54" s="560"/>
      <c r="H54" s="560"/>
      <c r="I54" s="560"/>
      <c r="J54" s="560">
        <v>1</v>
      </c>
      <c r="K54" s="560"/>
      <c r="L54" s="561">
        <v>2</v>
      </c>
    </row>
    <row r="55" spans="1:12" s="524" customFormat="1" x14ac:dyDescent="0.25">
      <c r="A55" s="893"/>
      <c r="B55" s="890"/>
      <c r="C55" s="556">
        <f>SUM('All Summaries'!AN98)</f>
        <v>351372</v>
      </c>
      <c r="D55" s="557"/>
      <c r="E55" s="557"/>
      <c r="F55" s="557"/>
      <c r="G55" s="557"/>
      <c r="H55" s="557"/>
      <c r="I55" s="557"/>
      <c r="J55" s="557">
        <v>3103775.8019121243</v>
      </c>
      <c r="K55" s="557"/>
      <c r="L55" s="558">
        <v>14310339.107567374</v>
      </c>
    </row>
    <row r="56" spans="1:12" x14ac:dyDescent="0.25">
      <c r="A56" s="893"/>
      <c r="B56" s="889" t="s">
        <v>434</v>
      </c>
      <c r="C56" s="559"/>
      <c r="D56" s="560"/>
      <c r="E56" s="560"/>
      <c r="F56" s="560">
        <v>3</v>
      </c>
      <c r="G56" s="560"/>
      <c r="H56" s="560"/>
      <c r="I56" s="560"/>
      <c r="J56" s="560"/>
      <c r="K56" s="560"/>
      <c r="L56" s="561">
        <v>3</v>
      </c>
    </row>
    <row r="57" spans="1:12" s="524" customFormat="1" ht="15.75" thickBot="1" x14ac:dyDescent="0.3">
      <c r="A57" s="894"/>
      <c r="B57" s="891"/>
      <c r="C57" s="565"/>
      <c r="D57" s="566"/>
      <c r="E57" s="566"/>
      <c r="F57" s="566">
        <f>SUM('All Summaries'!AO107,'All Summaries'!AO108,'All Summaries'!AO110)</f>
        <v>1183084</v>
      </c>
      <c r="G57" s="566"/>
      <c r="H57" s="566"/>
      <c r="I57" s="566"/>
      <c r="J57" s="566"/>
      <c r="K57" s="566"/>
      <c r="L57" s="567">
        <v>37127848.130000003</v>
      </c>
    </row>
    <row r="58" spans="1:12" x14ac:dyDescent="0.25">
      <c r="A58" s="899" t="s">
        <v>1030</v>
      </c>
      <c r="B58" s="895" t="s">
        <v>1306</v>
      </c>
      <c r="C58" s="518">
        <v>1</v>
      </c>
      <c r="D58" s="519">
        <v>1</v>
      </c>
      <c r="E58" s="519">
        <v>2</v>
      </c>
      <c r="F58" s="519"/>
      <c r="G58" s="519"/>
      <c r="H58" s="519"/>
      <c r="I58" s="519"/>
      <c r="J58" s="519">
        <v>1</v>
      </c>
      <c r="K58" s="519"/>
      <c r="L58" s="519">
        <v>5</v>
      </c>
    </row>
    <row r="59" spans="1:12" s="524" customFormat="1" x14ac:dyDescent="0.25">
      <c r="A59" s="900"/>
      <c r="B59" s="896"/>
      <c r="C59" s="521">
        <v>34811992</v>
      </c>
      <c r="D59" s="522">
        <v>11293841.93</v>
      </c>
      <c r="E59" s="522">
        <v>4543175.9186581988</v>
      </c>
      <c r="F59" s="522"/>
      <c r="G59" s="522"/>
      <c r="H59" s="522"/>
      <c r="I59" s="522"/>
      <c r="J59" s="522">
        <v>903733</v>
      </c>
      <c r="K59" s="522"/>
      <c r="L59" s="522">
        <v>51552742.848658197</v>
      </c>
    </row>
    <row r="60" spans="1:12" x14ac:dyDescent="0.25">
      <c r="A60" s="900"/>
      <c r="B60" s="897" t="s">
        <v>952</v>
      </c>
      <c r="C60" s="525"/>
      <c r="D60" s="526"/>
      <c r="E60" s="526"/>
      <c r="F60" s="526"/>
      <c r="G60" s="526">
        <v>1</v>
      </c>
      <c r="H60" s="526"/>
      <c r="I60" s="526"/>
      <c r="J60" s="526">
        <v>1</v>
      </c>
      <c r="K60" s="526"/>
      <c r="L60" s="526">
        <v>2</v>
      </c>
    </row>
    <row r="61" spans="1:12" s="524" customFormat="1" ht="15.75" thickBot="1" x14ac:dyDescent="0.3">
      <c r="A61" s="901"/>
      <c r="B61" s="898"/>
      <c r="C61" s="532"/>
      <c r="D61" s="533"/>
      <c r="E61" s="533"/>
      <c r="F61" s="533"/>
      <c r="G61" s="533">
        <v>34978037</v>
      </c>
      <c r="H61" s="533"/>
      <c r="I61" s="533"/>
      <c r="J61" s="533">
        <v>713522.08</v>
      </c>
      <c r="K61" s="533"/>
      <c r="L61" s="533">
        <v>35691559.079999998</v>
      </c>
    </row>
    <row r="62" spans="1:12" ht="15.75" thickBot="1" x14ac:dyDescent="0.3">
      <c r="A62" s="885" t="s">
        <v>391</v>
      </c>
      <c r="B62" s="886"/>
      <c r="C62" s="568">
        <f>SUM(C2,C4,C6,C8,C10,C12,C14,C16,C18,C20,C22,C24,C26,C28,C30,C32,C34,C36,C38,C40,C42,C44,C46,C48,C50,C52,C54,C56,C58,C60)</f>
        <v>78</v>
      </c>
      <c r="D62" s="568">
        <f t="shared" ref="D62:K62" si="0">SUM(D2,D4,D6,D8,D10,D12,D14,D16,D18,D20,D22,D24,D26,D28,D30,D32,D34,D36,D38,D40,D42,D44,D46,D48,D50,D52,D54,D56,D58,D60)</f>
        <v>50</v>
      </c>
      <c r="E62" s="568">
        <f t="shared" si="0"/>
        <v>6</v>
      </c>
      <c r="F62" s="568">
        <f t="shared" si="0"/>
        <v>4</v>
      </c>
      <c r="G62" s="568">
        <f t="shared" si="0"/>
        <v>1</v>
      </c>
      <c r="H62" s="568">
        <f t="shared" si="0"/>
        <v>16</v>
      </c>
      <c r="I62" s="568">
        <f t="shared" si="0"/>
        <v>10</v>
      </c>
      <c r="J62" s="568">
        <f t="shared" si="0"/>
        <v>9</v>
      </c>
      <c r="K62" s="568">
        <f t="shared" si="0"/>
        <v>1</v>
      </c>
      <c r="L62" s="569">
        <f>SUM(L2,L4,L6,L8,L10,L12,L14,L16,L18,L20,L22,L24,L26,L28,L30,L32,L34,L36,L38,L40,L42,L44,L46,L48,L50,L52,L54,L56,L58,L60)</f>
        <v>175</v>
      </c>
    </row>
    <row r="63" spans="1:12" s="524" customFormat="1" ht="15.75" thickBot="1" x14ac:dyDescent="0.3">
      <c r="A63" s="887"/>
      <c r="B63" s="888"/>
      <c r="C63" s="570">
        <f>SUM(C3,C5,C7,C9,C11,C13,C15,C17,C19,C21,C23,C25,C27,C29,C31,C33,C35,C37,C39,C41,C43,C45,C47,C49,C51,C53,C55,C57,C59,C61)</f>
        <v>911678038.53713953</v>
      </c>
      <c r="D63" s="570">
        <f t="shared" ref="D63:L63" si="1">SUM(D3,D5,D7,D9,D11,D13,D15,D17,D19,D21,D23,D25,D27,D29,D31,D33,D35,D37,D39,D41,D43,D45,D47,D49,D51,D53,D55,D57,D59,D61)</f>
        <v>641166804.35000002</v>
      </c>
      <c r="E63" s="570">
        <f t="shared" si="1"/>
        <v>27067881.204573512</v>
      </c>
      <c r="F63" s="570">
        <f t="shared" si="1"/>
        <v>16640074</v>
      </c>
      <c r="G63" s="570">
        <f t="shared" si="1"/>
        <v>34978037</v>
      </c>
      <c r="H63" s="570">
        <f t="shared" si="1"/>
        <v>170596842.48651138</v>
      </c>
      <c r="I63" s="570">
        <f t="shared" si="1"/>
        <v>67923400.709999993</v>
      </c>
      <c r="J63" s="570">
        <f t="shared" si="1"/>
        <v>58487083.596678115</v>
      </c>
      <c r="K63" s="570">
        <f t="shared" si="1"/>
        <v>5491497</v>
      </c>
      <c r="L63" s="571">
        <f t="shared" si="1"/>
        <v>2045008845.8449762</v>
      </c>
    </row>
  </sheetData>
  <mergeCells count="39">
    <mergeCell ref="B14:B15"/>
    <mergeCell ref="A2:A15"/>
    <mergeCell ref="A16:A27"/>
    <mergeCell ref="B16:B17"/>
    <mergeCell ref="B18:B19"/>
    <mergeCell ref="B20:B21"/>
    <mergeCell ref="B22:B23"/>
    <mergeCell ref="B24:B25"/>
    <mergeCell ref="B2:B3"/>
    <mergeCell ref="B4:B5"/>
    <mergeCell ref="B6:B7"/>
    <mergeCell ref="B8:B9"/>
    <mergeCell ref="B10:B11"/>
    <mergeCell ref="B12:B13"/>
    <mergeCell ref="B26:B27"/>
    <mergeCell ref="B28:B29"/>
    <mergeCell ref="B30:B31"/>
    <mergeCell ref="B32:B33"/>
    <mergeCell ref="A28:A33"/>
    <mergeCell ref="B36:B37"/>
    <mergeCell ref="A34:A37"/>
    <mergeCell ref="B38:B39"/>
    <mergeCell ref="B40:B41"/>
    <mergeCell ref="B42:B43"/>
    <mergeCell ref="A38:A43"/>
    <mergeCell ref="B34:B35"/>
    <mergeCell ref="B44:B45"/>
    <mergeCell ref="B46:B47"/>
    <mergeCell ref="A44:A47"/>
    <mergeCell ref="B48:B49"/>
    <mergeCell ref="B50:B51"/>
    <mergeCell ref="A62:B63"/>
    <mergeCell ref="B54:B55"/>
    <mergeCell ref="B56:B57"/>
    <mergeCell ref="A48:A57"/>
    <mergeCell ref="B58:B59"/>
    <mergeCell ref="B60:B61"/>
    <mergeCell ref="A58:A61"/>
    <mergeCell ref="B52:B5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opLeftCell="A29" zoomScale="80" zoomScaleNormal="80" workbookViewId="0">
      <selection activeCell="G27" sqref="G27:G35"/>
    </sheetView>
  </sheetViews>
  <sheetFormatPr defaultRowHeight="15" x14ac:dyDescent="0.25"/>
  <cols>
    <col min="1" max="1" width="21.5703125" customWidth="1"/>
    <col min="2" max="2" width="14.7109375" customWidth="1"/>
    <col min="3" max="3" width="13.140625" customWidth="1"/>
    <col min="4" max="4" width="14" customWidth="1"/>
    <col min="5" max="5" width="14.5703125" customWidth="1"/>
    <col min="6" max="6" width="15.85546875" customWidth="1"/>
    <col min="7" max="9" width="14.42578125" customWidth="1"/>
    <col min="10" max="10" width="13" customWidth="1"/>
    <col min="11" max="12" width="13.5703125" customWidth="1"/>
    <col min="13" max="13" width="14.140625" customWidth="1"/>
    <col min="14" max="14" width="15.140625" customWidth="1"/>
    <col min="15" max="15" width="15.42578125" customWidth="1"/>
    <col min="16" max="16" width="14.85546875" customWidth="1"/>
    <col min="17" max="17" width="16.85546875" customWidth="1"/>
    <col min="18" max="18" width="13.7109375" customWidth="1"/>
    <col min="19" max="19" width="12.7109375" customWidth="1"/>
    <col min="20" max="20" width="13.42578125" customWidth="1"/>
    <col min="21" max="21" width="15.5703125" customWidth="1"/>
  </cols>
  <sheetData>
    <row r="1" spans="1:16" thickBot="1" x14ac:dyDescent="0.4">
      <c r="N1" s="43"/>
      <c r="O1" s="43"/>
      <c r="P1" s="43"/>
    </row>
    <row r="2" spans="1:16" ht="60" customHeight="1" thickBot="1" x14ac:dyDescent="0.4">
      <c r="A2" s="809" t="s">
        <v>1548</v>
      </c>
      <c r="B2" s="806" t="s">
        <v>28</v>
      </c>
      <c r="C2" s="831" t="s">
        <v>111</v>
      </c>
    </row>
    <row r="3" spans="1:16" ht="14.45" x14ac:dyDescent="0.35">
      <c r="A3" s="805" t="s">
        <v>339</v>
      </c>
      <c r="B3" s="800">
        <v>46</v>
      </c>
      <c r="C3" s="826">
        <v>11</v>
      </c>
    </row>
    <row r="4" spans="1:16" ht="14.45" x14ac:dyDescent="0.35">
      <c r="A4" s="98" t="s">
        <v>574</v>
      </c>
      <c r="B4" s="801">
        <v>5</v>
      </c>
      <c r="C4" s="827">
        <v>27</v>
      </c>
    </row>
    <row r="5" spans="1:16" ht="14.45" x14ac:dyDescent="0.35">
      <c r="A5" s="98" t="s">
        <v>759</v>
      </c>
      <c r="B5" s="801">
        <v>3</v>
      </c>
      <c r="C5" s="827">
        <v>25</v>
      </c>
    </row>
    <row r="6" spans="1:16" ht="14.45" x14ac:dyDescent="0.35">
      <c r="A6" s="98" t="s">
        <v>397</v>
      </c>
      <c r="B6" s="801">
        <v>14</v>
      </c>
      <c r="C6" s="827">
        <v>0</v>
      </c>
    </row>
    <row r="7" spans="1:16" ht="14.45" x14ac:dyDescent="0.35">
      <c r="A7" s="98" t="s">
        <v>343</v>
      </c>
      <c r="B7" s="801">
        <v>2</v>
      </c>
      <c r="C7" s="827">
        <v>1</v>
      </c>
    </row>
    <row r="8" spans="1:16" ht="14.45" x14ac:dyDescent="0.35">
      <c r="A8" s="98" t="s">
        <v>1269</v>
      </c>
      <c r="B8" s="801">
        <v>14</v>
      </c>
      <c r="C8" s="827">
        <v>2</v>
      </c>
    </row>
    <row r="9" spans="1:16" ht="14.45" x14ac:dyDescent="0.35">
      <c r="A9" s="98" t="s">
        <v>1539</v>
      </c>
      <c r="B9" s="801">
        <v>14</v>
      </c>
      <c r="C9" s="827">
        <v>1</v>
      </c>
    </row>
    <row r="10" spans="1:16" thickBot="1" x14ac:dyDescent="0.4">
      <c r="A10" s="98" t="s">
        <v>1030</v>
      </c>
      <c r="B10" s="801">
        <v>5</v>
      </c>
      <c r="C10" s="827">
        <v>2</v>
      </c>
    </row>
    <row r="11" spans="1:16" thickBot="1" x14ac:dyDescent="0.4">
      <c r="A11" s="810" t="s">
        <v>571</v>
      </c>
      <c r="B11" s="804">
        <f>SUM(B3:B10)</f>
        <v>103</v>
      </c>
      <c r="C11" s="823">
        <f t="shared" ref="C11" si="0">SUM(C3:C10)</f>
        <v>69</v>
      </c>
    </row>
    <row r="12" spans="1:16" ht="14.45" x14ac:dyDescent="0.35">
      <c r="A12" s="830"/>
      <c r="B12" s="822"/>
      <c r="C12" s="822"/>
      <c r="D12" s="416"/>
      <c r="E12" s="416"/>
      <c r="J12" s="822"/>
      <c r="K12" s="821"/>
      <c r="L12" s="822"/>
      <c r="M12" s="822"/>
    </row>
    <row r="13" spans="1:16" thickBot="1" x14ac:dyDescent="0.4">
      <c r="A13" s="830"/>
      <c r="B13" s="822"/>
      <c r="C13" s="822"/>
      <c r="D13" s="416"/>
      <c r="E13" s="416"/>
      <c r="J13" s="822"/>
      <c r="K13" s="821"/>
      <c r="L13" s="822"/>
      <c r="M13" s="822"/>
    </row>
    <row r="14" spans="1:16" ht="58.5" thickBot="1" x14ac:dyDescent="0.4">
      <c r="A14" s="809" t="s">
        <v>1548</v>
      </c>
      <c r="B14" s="807" t="s">
        <v>1540</v>
      </c>
      <c r="C14" s="807" t="s">
        <v>1554</v>
      </c>
      <c r="D14" s="807" t="s">
        <v>1544</v>
      </c>
      <c r="E14" s="832" t="s">
        <v>1556</v>
      </c>
      <c r="F14" s="807" t="s">
        <v>1541</v>
      </c>
      <c r="G14" s="807" t="s">
        <v>1555</v>
      </c>
      <c r="H14" s="807" t="s">
        <v>1547</v>
      </c>
      <c r="I14" s="808" t="s">
        <v>1557</v>
      </c>
      <c r="J14" s="822"/>
      <c r="K14" s="821"/>
      <c r="L14" s="822"/>
      <c r="M14" s="822"/>
      <c r="N14" s="822"/>
      <c r="O14" s="822"/>
      <c r="P14" s="43"/>
    </row>
    <row r="15" spans="1:16" ht="14.45" x14ac:dyDescent="0.35">
      <c r="A15" s="805" t="s">
        <v>339</v>
      </c>
      <c r="B15" s="470">
        <f>SUM('All Summaries'!X4,'All Summaries'!X5,'All Summaries'!X7,'All Summaries'!X8,'All Summaries'!X10,'All Summaries'!X11,'All Summaries'!X12,'All Summaries'!X13,'All Summaries'!X14,'All Summaries'!X15,'All Summaries'!X16,'All Summaries'!X17,'All Summaries'!X18,'All Summaries'!X20,'All Summaries'!X21,'All Summaries'!X23,'All Summaries'!X24,'All Summaries'!X25,'All Summaries'!X26,'All Summaries'!X27,'All Summaries'!X28,'All Summaries'!X29,'All Summaries'!X30,'All Summaries'!X31,'All Summaries'!X32,'All Summaries'!X33,'All Summaries'!X34,'All Summaries'!X35,'All Summaries'!X36,'All Summaries'!X37,'All Summaries'!X38,'All Summaries'!X39,'All Summaries'!X40,'All Summaries'!X41,'All Summaries'!X42,'All Summaries'!X43,'All Summaries'!X44,'All Summaries'!X45,'All Summaries'!X46,'All Summaries'!X47,'All Summaries'!X52,'All Summaries'!X53,'All Summaries'!X54,'All Summaries'!X55,'All Summaries'!X56,'All Summaries'!X57)</f>
        <v>33045</v>
      </c>
      <c r="C15" s="470">
        <v>60369</v>
      </c>
      <c r="D15" s="802">
        <f t="shared" ref="D15:D23" si="1">(B15/C15)*100</f>
        <v>54.738359091586744</v>
      </c>
      <c r="E15" s="833">
        <v>99133</v>
      </c>
      <c r="F15" s="470">
        <v>44487</v>
      </c>
      <c r="G15" s="470">
        <v>55492</v>
      </c>
      <c r="H15" s="802">
        <f>(F15/G15)*100</f>
        <v>80.168312549556703</v>
      </c>
      <c r="I15" s="828">
        <v>89922</v>
      </c>
      <c r="J15" s="822"/>
      <c r="K15" s="821"/>
      <c r="L15" s="822"/>
      <c r="M15" s="822"/>
      <c r="N15" s="822"/>
      <c r="O15" s="822"/>
      <c r="P15" s="43"/>
    </row>
    <row r="16" spans="1:16" ht="14.45" x14ac:dyDescent="0.35">
      <c r="A16" s="98" t="s">
        <v>574</v>
      </c>
      <c r="B16" s="260">
        <v>9833</v>
      </c>
      <c r="C16" s="260">
        <v>14634</v>
      </c>
      <c r="D16" s="803">
        <f t="shared" si="1"/>
        <v>67.192838595052621</v>
      </c>
      <c r="E16" s="834">
        <v>26888</v>
      </c>
      <c r="F16" s="260">
        <v>705002</v>
      </c>
      <c r="G16" s="260">
        <v>881550</v>
      </c>
      <c r="H16" s="803">
        <f>(F16/G16)*100</f>
        <v>79.973002098576373</v>
      </c>
      <c r="I16" s="265">
        <v>1438225</v>
      </c>
      <c r="J16" s="822"/>
      <c r="K16" s="821"/>
      <c r="L16" s="822"/>
      <c r="M16" s="822"/>
      <c r="N16" s="822"/>
      <c r="O16" s="822"/>
      <c r="P16" s="43"/>
    </row>
    <row r="17" spans="1:16" ht="14.45" x14ac:dyDescent="0.35">
      <c r="A17" s="98" t="s">
        <v>759</v>
      </c>
      <c r="B17" s="260">
        <v>102611</v>
      </c>
      <c r="C17" s="260">
        <v>25740</v>
      </c>
      <c r="D17" s="803">
        <f t="shared" si="1"/>
        <v>398.6441336441336</v>
      </c>
      <c r="E17" s="834">
        <v>62325</v>
      </c>
      <c r="F17" s="260">
        <v>397214</v>
      </c>
      <c r="G17" s="260">
        <v>254144</v>
      </c>
      <c r="H17" s="803">
        <f>(F17/G17)*100</f>
        <v>156.29485645933013</v>
      </c>
      <c r="I17" s="265">
        <v>389869</v>
      </c>
      <c r="J17" s="822"/>
      <c r="K17" s="821"/>
      <c r="L17" s="822"/>
      <c r="M17" s="822"/>
      <c r="N17" s="822"/>
      <c r="O17" s="822"/>
      <c r="P17" s="43"/>
    </row>
    <row r="18" spans="1:16" ht="14.45" x14ac:dyDescent="0.35">
      <c r="A18" s="98" t="s">
        <v>397</v>
      </c>
      <c r="B18" s="260">
        <v>174844</v>
      </c>
      <c r="C18" s="260">
        <v>92696</v>
      </c>
      <c r="D18" s="803">
        <f t="shared" si="1"/>
        <v>188.62086821437819</v>
      </c>
      <c r="E18" s="834">
        <v>161958</v>
      </c>
      <c r="F18" s="260">
        <v>0</v>
      </c>
      <c r="G18" s="260">
        <v>0</v>
      </c>
      <c r="H18" s="839" t="s">
        <v>1507</v>
      </c>
      <c r="I18" s="265">
        <v>0</v>
      </c>
      <c r="J18" s="822"/>
      <c r="K18" s="821"/>
      <c r="L18" s="822"/>
      <c r="M18" s="822"/>
      <c r="N18" s="822"/>
      <c r="O18" s="822"/>
      <c r="P18" s="43"/>
    </row>
    <row r="19" spans="1:16" ht="14.45" x14ac:dyDescent="0.35">
      <c r="A19" s="98" t="s">
        <v>343</v>
      </c>
      <c r="B19" s="260">
        <v>9431</v>
      </c>
      <c r="C19" s="260">
        <v>3200</v>
      </c>
      <c r="D19" s="803">
        <f t="shared" si="1"/>
        <v>294.71875</v>
      </c>
      <c r="E19" s="834">
        <v>6800</v>
      </c>
      <c r="F19" s="260">
        <v>0</v>
      </c>
      <c r="G19" s="260">
        <v>2800</v>
      </c>
      <c r="H19" s="840" t="s">
        <v>1507</v>
      </c>
      <c r="I19" s="265">
        <v>4200</v>
      </c>
      <c r="J19" s="822"/>
      <c r="K19" s="821"/>
      <c r="L19" s="822"/>
      <c r="M19" s="822"/>
      <c r="N19" s="822"/>
      <c r="O19" s="822"/>
      <c r="P19" s="43"/>
    </row>
    <row r="20" spans="1:16" ht="14.45" x14ac:dyDescent="0.35">
      <c r="A20" s="98" t="s">
        <v>1269</v>
      </c>
      <c r="B20" s="260">
        <v>11887</v>
      </c>
      <c r="C20" s="260">
        <v>66918</v>
      </c>
      <c r="D20" s="803">
        <f t="shared" si="1"/>
        <v>17.76353148629666</v>
      </c>
      <c r="E20" s="834">
        <v>101787</v>
      </c>
      <c r="F20" s="260">
        <v>40780</v>
      </c>
      <c r="G20" s="260">
        <v>262640</v>
      </c>
      <c r="H20" s="803">
        <f>(F20/G20)*100</f>
        <v>15.526957051477307</v>
      </c>
      <c r="I20" s="265">
        <v>393960</v>
      </c>
      <c r="J20" s="822"/>
      <c r="K20" s="821"/>
      <c r="L20" s="822"/>
      <c r="M20" s="822"/>
      <c r="N20" s="822"/>
      <c r="O20" s="822"/>
      <c r="P20" s="43"/>
    </row>
    <row r="21" spans="1:16" ht="14.45" x14ac:dyDescent="0.35">
      <c r="A21" s="98" t="s">
        <v>1539</v>
      </c>
      <c r="B21" s="260">
        <v>2626</v>
      </c>
      <c r="C21" s="260">
        <v>69672</v>
      </c>
      <c r="D21" s="803">
        <f t="shared" si="1"/>
        <v>3.7690894476977843</v>
      </c>
      <c r="E21" s="834">
        <v>105308</v>
      </c>
      <c r="F21" s="260">
        <v>600</v>
      </c>
      <c r="G21" s="260">
        <v>3000</v>
      </c>
      <c r="H21" s="803">
        <f>(F21/G21)*100</f>
        <v>20</v>
      </c>
      <c r="I21" s="265">
        <v>4500</v>
      </c>
      <c r="J21" s="822"/>
      <c r="K21" s="821"/>
      <c r="L21" s="822"/>
      <c r="M21" s="822"/>
      <c r="N21" s="822"/>
      <c r="O21" s="822"/>
      <c r="P21" s="43"/>
    </row>
    <row r="22" spans="1:16" thickBot="1" x14ac:dyDescent="0.4">
      <c r="A22" s="98" t="s">
        <v>1030</v>
      </c>
      <c r="B22" s="260">
        <v>196148</v>
      </c>
      <c r="C22" s="260">
        <v>95127</v>
      </c>
      <c r="D22" s="803">
        <f t="shared" si="1"/>
        <v>206.19592754948647</v>
      </c>
      <c r="E22" s="834">
        <v>174727</v>
      </c>
      <c r="F22" s="260">
        <v>0</v>
      </c>
      <c r="G22" s="260">
        <v>15200</v>
      </c>
      <c r="H22" s="840" t="s">
        <v>1507</v>
      </c>
      <c r="I22" s="265">
        <v>42400</v>
      </c>
      <c r="J22" s="822"/>
      <c r="K22" s="821"/>
      <c r="L22" s="822"/>
      <c r="M22" s="822"/>
      <c r="N22" s="822"/>
      <c r="O22" s="822"/>
      <c r="P22" s="43"/>
    </row>
    <row r="23" spans="1:16" thickBot="1" x14ac:dyDescent="0.4">
      <c r="A23" s="810" t="s">
        <v>571</v>
      </c>
      <c r="B23" s="825">
        <f t="shared" ref="B23:I23" si="2">SUM(B15:B22)</f>
        <v>540425</v>
      </c>
      <c r="C23" s="825">
        <f t="shared" si="2"/>
        <v>428356</v>
      </c>
      <c r="D23" s="819">
        <f t="shared" si="1"/>
        <v>126.16258439242125</v>
      </c>
      <c r="E23" s="835">
        <f t="shared" si="2"/>
        <v>738926</v>
      </c>
      <c r="F23" s="825">
        <f t="shared" si="2"/>
        <v>1188083</v>
      </c>
      <c r="G23" s="825">
        <f t="shared" si="2"/>
        <v>1474826</v>
      </c>
      <c r="H23" s="819">
        <f t="shared" ref="H23" si="3">(F23/G23)*100</f>
        <v>80.557503054597618</v>
      </c>
      <c r="I23" s="829">
        <f t="shared" si="2"/>
        <v>2363076</v>
      </c>
      <c r="J23" s="822"/>
      <c r="K23" s="821"/>
      <c r="L23" s="822"/>
      <c r="M23" s="822"/>
      <c r="N23" s="822"/>
      <c r="O23" s="822"/>
      <c r="P23" s="43"/>
    </row>
    <row r="24" spans="1:16" ht="14.45" x14ac:dyDescent="0.35">
      <c r="A24" s="830"/>
      <c r="B24" s="822"/>
      <c r="C24" s="822"/>
      <c r="D24" s="416"/>
      <c r="E24" s="416"/>
      <c r="J24" s="822"/>
      <c r="K24" s="821"/>
      <c r="L24" s="822"/>
      <c r="M24" s="822"/>
      <c r="N24" s="822"/>
      <c r="O24" s="822"/>
      <c r="P24" s="43"/>
    </row>
    <row r="25" spans="1:16" thickBot="1" x14ac:dyDescent="0.4">
      <c r="A25" s="830"/>
      <c r="B25" s="822"/>
      <c r="C25" s="822"/>
      <c r="D25" s="416"/>
      <c r="E25" s="416"/>
      <c r="J25" s="822"/>
      <c r="K25" s="821"/>
      <c r="L25" s="822"/>
      <c r="M25" s="822"/>
      <c r="N25" s="822"/>
      <c r="O25" s="822"/>
      <c r="P25" s="43"/>
    </row>
    <row r="26" spans="1:16" ht="75.75" thickBot="1" x14ac:dyDescent="0.3">
      <c r="A26" s="809" t="s">
        <v>1548</v>
      </c>
      <c r="B26" s="807" t="s">
        <v>1545</v>
      </c>
      <c r="C26" s="807" t="s">
        <v>1540</v>
      </c>
      <c r="D26" s="807" t="s">
        <v>1542</v>
      </c>
      <c r="E26" s="807" t="s">
        <v>1546</v>
      </c>
      <c r="F26" s="807" t="s">
        <v>1541</v>
      </c>
      <c r="G26" s="808" t="s">
        <v>1543</v>
      </c>
    </row>
    <row r="27" spans="1:16" x14ac:dyDescent="0.25">
      <c r="A27" s="98" t="s">
        <v>339</v>
      </c>
      <c r="B27" s="260">
        <v>26047</v>
      </c>
      <c r="C27" s="834">
        <v>33045</v>
      </c>
      <c r="D27" s="803">
        <f>(C27+B27)/B27*100</f>
        <v>226.86681767574001</v>
      </c>
      <c r="E27" s="260">
        <v>5627</v>
      </c>
      <c r="F27" s="470">
        <v>44487</v>
      </c>
      <c r="G27" s="820">
        <f t="shared" ref="G27:G29" si="4">(F27+E27)/E27*100</f>
        <v>890.59889816953978</v>
      </c>
    </row>
    <row r="28" spans="1:16" x14ac:dyDescent="0.25">
      <c r="A28" s="98" t="s">
        <v>574</v>
      </c>
      <c r="B28" s="260">
        <v>30223</v>
      </c>
      <c r="C28" s="834">
        <v>9833</v>
      </c>
      <c r="D28" s="803">
        <f>(C28+B28)/B28*100</f>
        <v>132.53482447142903</v>
      </c>
      <c r="E28" s="260">
        <v>529331</v>
      </c>
      <c r="F28" s="260">
        <v>705002</v>
      </c>
      <c r="G28" s="820">
        <f t="shared" si="4"/>
        <v>233.18736291658718</v>
      </c>
    </row>
    <row r="29" spans="1:16" x14ac:dyDescent="0.25">
      <c r="A29" s="98" t="s">
        <v>759</v>
      </c>
      <c r="B29" s="260">
        <v>0</v>
      </c>
      <c r="C29" s="834">
        <v>102611</v>
      </c>
      <c r="D29" s="803" t="s">
        <v>1507</v>
      </c>
      <c r="E29" s="260">
        <v>221413</v>
      </c>
      <c r="F29" s="260">
        <v>397214</v>
      </c>
      <c r="G29" s="820">
        <f t="shared" si="4"/>
        <v>279.39958358361974</v>
      </c>
    </row>
    <row r="30" spans="1:16" x14ac:dyDescent="0.25">
      <c r="A30" s="98" t="s">
        <v>397</v>
      </c>
      <c r="B30" s="260">
        <v>4941</v>
      </c>
      <c r="C30" s="834">
        <v>174844</v>
      </c>
      <c r="D30" s="803">
        <f>(C30+B30)/B30*100</f>
        <v>3638.6359036632266</v>
      </c>
      <c r="E30" s="260">
        <v>0</v>
      </c>
      <c r="F30" s="260">
        <v>0</v>
      </c>
      <c r="G30" s="841" t="s">
        <v>1507</v>
      </c>
    </row>
    <row r="31" spans="1:16" x14ac:dyDescent="0.25">
      <c r="A31" s="98" t="s">
        <v>343</v>
      </c>
      <c r="B31" s="260">
        <v>0</v>
      </c>
      <c r="C31" s="834">
        <v>9431</v>
      </c>
      <c r="D31" s="803" t="s">
        <v>1507</v>
      </c>
      <c r="E31" s="260">
        <v>0</v>
      </c>
      <c r="F31" s="260">
        <v>0</v>
      </c>
      <c r="G31" s="260">
        <v>0</v>
      </c>
    </row>
    <row r="32" spans="1:16" x14ac:dyDescent="0.25">
      <c r="A32" s="98" t="s">
        <v>1269</v>
      </c>
      <c r="B32" s="260">
        <v>4230</v>
      </c>
      <c r="C32" s="834">
        <v>11887</v>
      </c>
      <c r="D32" s="803">
        <f>(C32+B32)/B32*100</f>
        <v>381.01654846335697</v>
      </c>
      <c r="E32" s="260">
        <v>20390</v>
      </c>
      <c r="F32" s="260">
        <v>40780</v>
      </c>
      <c r="G32" s="820">
        <f t="shared" ref="G32:G33" si="5">(F32+E32)/E32*100</f>
        <v>300</v>
      </c>
    </row>
    <row r="33" spans="1:9" x14ac:dyDescent="0.25">
      <c r="A33" s="98" t="s">
        <v>1539</v>
      </c>
      <c r="B33" s="260">
        <v>334</v>
      </c>
      <c r="C33" s="834">
        <v>2626</v>
      </c>
      <c r="D33" s="803">
        <f>(C33+B33)/B33*100</f>
        <v>886.22754491017963</v>
      </c>
      <c r="E33" s="260">
        <v>300</v>
      </c>
      <c r="F33" s="260">
        <v>600</v>
      </c>
      <c r="G33" s="820">
        <f t="shared" si="5"/>
        <v>300</v>
      </c>
    </row>
    <row r="34" spans="1:9" ht="15.75" thickBot="1" x14ac:dyDescent="0.3">
      <c r="A34" s="98" t="s">
        <v>1030</v>
      </c>
      <c r="B34" s="260">
        <v>153</v>
      </c>
      <c r="C34" s="834">
        <v>196148</v>
      </c>
      <c r="D34" s="803">
        <f>(C34+B34)/B34*100</f>
        <v>128301.30718954249</v>
      </c>
      <c r="E34" s="260">
        <v>0</v>
      </c>
      <c r="F34" s="260">
        <v>0</v>
      </c>
      <c r="G34" s="260">
        <v>0</v>
      </c>
    </row>
    <row r="35" spans="1:9" ht="15.75" thickBot="1" x14ac:dyDescent="0.3">
      <c r="A35" s="810" t="s">
        <v>571</v>
      </c>
      <c r="B35" s="825">
        <f>SUM(B27:B34)</f>
        <v>65928</v>
      </c>
      <c r="C35" s="835">
        <f t="shared" ref="C35:F35" si="6">SUM(C27:C34)</f>
        <v>540425</v>
      </c>
      <c r="D35" s="819">
        <f>(C35+B35)/B35*100</f>
        <v>919.71999757311005</v>
      </c>
      <c r="E35" s="825">
        <f t="shared" si="6"/>
        <v>777061</v>
      </c>
      <c r="F35" s="825">
        <f t="shared" si="6"/>
        <v>1188083</v>
      </c>
      <c r="G35" s="842">
        <f>(F35+E35)/E35*100</f>
        <v>252.89443171128136</v>
      </c>
    </row>
    <row r="37" spans="1:9" ht="15.75" thickBot="1" x14ac:dyDescent="0.3"/>
    <row r="38" spans="1:9" ht="75.75" thickBot="1" x14ac:dyDescent="0.3">
      <c r="A38" s="809" t="s">
        <v>1548</v>
      </c>
      <c r="B38" s="807" t="s">
        <v>1559</v>
      </c>
      <c r="C38" s="807" t="s">
        <v>1562</v>
      </c>
      <c r="D38" s="807" t="s">
        <v>1558</v>
      </c>
      <c r="E38" s="807" t="s">
        <v>1560</v>
      </c>
      <c r="F38" s="807" t="s">
        <v>1563</v>
      </c>
      <c r="G38" s="808" t="s">
        <v>1561</v>
      </c>
      <c r="H38" s="838"/>
      <c r="I38" s="838"/>
    </row>
    <row r="39" spans="1:9" x14ac:dyDescent="0.25">
      <c r="A39" s="98" t="s">
        <v>339</v>
      </c>
      <c r="B39" s="833">
        <v>25818</v>
      </c>
      <c r="C39" s="260">
        <v>27108</v>
      </c>
      <c r="D39" s="843">
        <f t="shared" ref="D39:D46" si="7">(C39/B39)*100</f>
        <v>104.99651405995817</v>
      </c>
      <c r="E39" s="260">
        <v>33832</v>
      </c>
      <c r="F39" s="260">
        <v>28880</v>
      </c>
      <c r="G39" s="844">
        <f>(F39/E39)*100</f>
        <v>85.362969969259865</v>
      </c>
      <c r="H39" s="416"/>
      <c r="I39" s="416"/>
    </row>
    <row r="40" spans="1:9" x14ac:dyDescent="0.25">
      <c r="A40" s="98" t="s">
        <v>574</v>
      </c>
      <c r="B40" s="260">
        <v>7080</v>
      </c>
      <c r="C40" s="260">
        <v>8881</v>
      </c>
      <c r="D40" s="843">
        <f t="shared" si="7"/>
        <v>125.43785310734464</v>
      </c>
      <c r="E40" s="260">
        <v>204034</v>
      </c>
      <c r="F40" s="260">
        <v>216658</v>
      </c>
      <c r="G40" s="844">
        <f>(F40/E40)*100</f>
        <v>106.18720409343541</v>
      </c>
      <c r="H40" s="416"/>
      <c r="I40" s="416"/>
    </row>
    <row r="41" spans="1:9" x14ac:dyDescent="0.25">
      <c r="A41" s="98" t="s">
        <v>759</v>
      </c>
      <c r="B41" s="260">
        <v>88245</v>
      </c>
      <c r="C41" s="260">
        <v>82707</v>
      </c>
      <c r="D41" s="843">
        <f t="shared" si="7"/>
        <v>93.724290328063915</v>
      </c>
      <c r="E41" s="260">
        <v>189453</v>
      </c>
      <c r="F41" s="260">
        <v>205504</v>
      </c>
      <c r="G41" s="844">
        <f>(F41/E41)*100</f>
        <v>108.47228600233304</v>
      </c>
      <c r="H41" s="416"/>
      <c r="I41" s="416"/>
    </row>
    <row r="42" spans="1:9" x14ac:dyDescent="0.25">
      <c r="A42" s="98" t="s">
        <v>397</v>
      </c>
      <c r="B42" s="260">
        <v>124408</v>
      </c>
      <c r="C42" s="260">
        <v>107833</v>
      </c>
      <c r="D42" s="843">
        <f t="shared" si="7"/>
        <v>86.676901806957744</v>
      </c>
      <c r="E42" s="260">
        <v>0</v>
      </c>
      <c r="F42" s="260">
        <v>0</v>
      </c>
      <c r="G42" s="265">
        <v>0</v>
      </c>
      <c r="H42" s="416"/>
      <c r="I42" s="416"/>
    </row>
    <row r="43" spans="1:9" x14ac:dyDescent="0.25">
      <c r="A43" s="98" t="s">
        <v>343</v>
      </c>
      <c r="B43" s="260">
        <v>6790</v>
      </c>
      <c r="C43" s="260">
        <v>4432</v>
      </c>
      <c r="D43" s="843">
        <f t="shared" si="7"/>
        <v>65.272459499263618</v>
      </c>
      <c r="E43" s="260">
        <v>0</v>
      </c>
      <c r="F43" s="260">
        <v>0</v>
      </c>
      <c r="G43" s="265">
        <v>0</v>
      </c>
      <c r="H43" s="416"/>
      <c r="I43" s="416"/>
    </row>
    <row r="44" spans="1:9" x14ac:dyDescent="0.25">
      <c r="A44" s="98" t="s">
        <v>1269</v>
      </c>
      <c r="B44" s="260">
        <v>10111</v>
      </c>
      <c r="C44" s="260">
        <v>10780</v>
      </c>
      <c r="D44" s="843">
        <f t="shared" si="7"/>
        <v>106.61655622589259</v>
      </c>
      <c r="E44" s="260">
        <v>9379</v>
      </c>
      <c r="F44" s="260">
        <v>17953</v>
      </c>
      <c r="G44" s="844">
        <f>(F44/E44)*100</f>
        <v>191.41699541528948</v>
      </c>
      <c r="H44" s="416"/>
      <c r="I44" s="416"/>
    </row>
    <row r="45" spans="1:9" x14ac:dyDescent="0.25">
      <c r="A45" s="98" t="s">
        <v>1539</v>
      </c>
      <c r="B45" s="260">
        <v>1158</v>
      </c>
      <c r="C45" s="260">
        <v>1989</v>
      </c>
      <c r="D45" s="843">
        <f t="shared" si="7"/>
        <v>171.7616580310881</v>
      </c>
      <c r="E45" s="260">
        <v>600</v>
      </c>
      <c r="F45" s="260">
        <v>600</v>
      </c>
      <c r="G45" s="265">
        <f>(F45/E45)*100</f>
        <v>100</v>
      </c>
      <c r="H45" s="416"/>
      <c r="I45" s="416"/>
    </row>
    <row r="46" spans="1:9" ht="15.75" thickBot="1" x14ac:dyDescent="0.3">
      <c r="A46" s="98" t="s">
        <v>1030</v>
      </c>
      <c r="B46" s="260">
        <v>141074</v>
      </c>
      <c r="C46" s="260">
        <v>156341</v>
      </c>
      <c r="D46" s="843">
        <f t="shared" si="7"/>
        <v>110.82197995378311</v>
      </c>
      <c r="E46" s="260">
        <v>0</v>
      </c>
      <c r="F46" s="260">
        <v>0</v>
      </c>
      <c r="G46" s="265">
        <v>0</v>
      </c>
      <c r="H46" s="416"/>
      <c r="I46" s="416"/>
    </row>
    <row r="47" spans="1:9" ht="15.75" thickBot="1" x14ac:dyDescent="0.3">
      <c r="A47" s="810" t="s">
        <v>571</v>
      </c>
      <c r="B47" s="825">
        <f t="shared" ref="B47:F47" si="8">SUM(B39:B46)</f>
        <v>404684</v>
      </c>
      <c r="C47" s="825">
        <f t="shared" si="8"/>
        <v>400071</v>
      </c>
      <c r="D47" s="845">
        <f>(C47/B47)*100</f>
        <v>98.860098249498378</v>
      </c>
      <c r="E47" s="825">
        <f t="shared" si="8"/>
        <v>437298</v>
      </c>
      <c r="F47" s="825">
        <f t="shared" si="8"/>
        <v>469595</v>
      </c>
      <c r="G47" s="846">
        <f>(F47/E47)*100</f>
        <v>107.38558145703846</v>
      </c>
      <c r="H47" s="416"/>
      <c r="I47" s="416"/>
    </row>
    <row r="48" spans="1:9" x14ac:dyDescent="0.25">
      <c r="B48" s="822"/>
      <c r="C48" s="822"/>
      <c r="D48" s="43"/>
    </row>
    <row r="49" spans="2:4" x14ac:dyDescent="0.25">
      <c r="B49" s="822"/>
      <c r="C49" s="822"/>
      <c r="D49" s="4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7"/>
  <sheetViews>
    <sheetView workbookViewId="0">
      <selection activeCell="B24" sqref="B24"/>
    </sheetView>
  </sheetViews>
  <sheetFormatPr defaultRowHeight="15" x14ac:dyDescent="0.25"/>
  <cols>
    <col min="1" max="1" width="48" style="296" customWidth="1"/>
    <col min="2" max="2" width="14.140625" bestFit="1" customWidth="1"/>
  </cols>
  <sheetData>
    <row r="2" spans="1:2" ht="14.45" x14ac:dyDescent="0.35">
      <c r="A2" s="581" t="s">
        <v>1317</v>
      </c>
      <c r="B2" s="582" t="s">
        <v>1318</v>
      </c>
    </row>
    <row r="3" spans="1:2" ht="14.45" x14ac:dyDescent="0.35">
      <c r="A3" s="581" t="s">
        <v>1249</v>
      </c>
      <c r="B3" s="582">
        <v>25</v>
      </c>
    </row>
    <row r="4" spans="1:2" ht="29.1" x14ac:dyDescent="0.35">
      <c r="A4" s="296" t="s">
        <v>1245</v>
      </c>
      <c r="B4">
        <v>2</v>
      </c>
    </row>
    <row r="5" spans="1:2" ht="57.95" x14ac:dyDescent="0.35">
      <c r="A5" s="579" t="s">
        <v>1232</v>
      </c>
      <c r="B5">
        <v>1</v>
      </c>
    </row>
    <row r="6" spans="1:2" ht="45" customHeight="1" x14ac:dyDescent="0.35">
      <c r="A6" s="296" t="s">
        <v>1226</v>
      </c>
      <c r="B6">
        <v>13</v>
      </c>
    </row>
    <row r="7" spans="1:2" ht="28.5" customHeight="1" x14ac:dyDescent="0.35">
      <c r="A7" s="296" t="s">
        <v>1227</v>
      </c>
      <c r="B7">
        <v>7</v>
      </c>
    </row>
    <row r="8" spans="1:2" ht="14.45" x14ac:dyDescent="0.35">
      <c r="A8" s="296" t="s">
        <v>1251</v>
      </c>
      <c r="B8">
        <v>3</v>
      </c>
    </row>
    <row r="9" spans="1:2" ht="29.1" x14ac:dyDescent="0.35">
      <c r="A9" s="296" t="s">
        <v>1239</v>
      </c>
      <c r="B9">
        <v>3</v>
      </c>
    </row>
    <row r="10" spans="1:2" ht="30.6" customHeight="1" x14ac:dyDescent="0.35">
      <c r="A10" s="296" t="s">
        <v>1244</v>
      </c>
      <c r="B10">
        <v>3</v>
      </c>
    </row>
    <row r="11" spans="1:2" ht="28.5" customHeight="1" x14ac:dyDescent="0.35">
      <c r="A11" s="296" t="s">
        <v>1225</v>
      </c>
      <c r="B11">
        <v>4</v>
      </c>
    </row>
    <row r="12" spans="1:2" ht="30" x14ac:dyDescent="0.25">
      <c r="A12" s="296" t="s">
        <v>1250</v>
      </c>
      <c r="B12">
        <v>4</v>
      </c>
    </row>
    <row r="13" spans="1:2" x14ac:dyDescent="0.25">
      <c r="A13" s="581" t="s">
        <v>1228</v>
      </c>
      <c r="B13" s="582">
        <v>25</v>
      </c>
    </row>
    <row r="14" spans="1:2" s="192" customFormat="1" x14ac:dyDescent="0.25">
      <c r="A14" s="584" t="s">
        <v>571</v>
      </c>
      <c r="B14" s="585">
        <f>SUM(B3:B13)</f>
        <v>90</v>
      </c>
    </row>
    <row r="15" spans="1:2" x14ac:dyDescent="0.25">
      <c r="A15" s="584" t="s">
        <v>1320</v>
      </c>
      <c r="B15" s="586">
        <f>(B13/B14)</f>
        <v>0.27777777777777779</v>
      </c>
    </row>
    <row r="16" spans="1:2" x14ac:dyDescent="0.25">
      <c r="A16" s="580"/>
      <c r="B16" s="576"/>
    </row>
    <row r="17" spans="1:2" x14ac:dyDescent="0.25">
      <c r="B17" s="576"/>
    </row>
    <row r="18" spans="1:2" x14ac:dyDescent="0.25">
      <c r="A18" s="587" t="s">
        <v>1319</v>
      </c>
    </row>
    <row r="19" spans="1:2" x14ac:dyDescent="0.25">
      <c r="A19" s="296" t="s">
        <v>1248</v>
      </c>
      <c r="B19">
        <v>2</v>
      </c>
    </row>
    <row r="20" spans="1:2" x14ac:dyDescent="0.25">
      <c r="A20" s="583" t="s">
        <v>1253</v>
      </c>
      <c r="B20">
        <v>3</v>
      </c>
    </row>
    <row r="21" spans="1:2" x14ac:dyDescent="0.25">
      <c r="A21" s="296" t="s">
        <v>1241</v>
      </c>
      <c r="B21">
        <v>2</v>
      </c>
    </row>
    <row r="22" spans="1:2" x14ac:dyDescent="0.25">
      <c r="A22" s="296" t="s">
        <v>1236</v>
      </c>
      <c r="B22">
        <v>2</v>
      </c>
    </row>
    <row r="23" spans="1:2" ht="56.45" customHeight="1" x14ac:dyDescent="0.25">
      <c r="A23" s="589" t="s">
        <v>1229</v>
      </c>
      <c r="B23" s="588">
        <v>15</v>
      </c>
    </row>
    <row r="24" spans="1:2" ht="60" x14ac:dyDescent="0.25">
      <c r="A24" s="296" t="s">
        <v>1231</v>
      </c>
      <c r="B24">
        <v>1</v>
      </c>
    </row>
    <row r="25" spans="1:2" ht="30" x14ac:dyDescent="0.25">
      <c r="A25" s="296" t="s">
        <v>1230</v>
      </c>
      <c r="B25">
        <v>8</v>
      </c>
    </row>
    <row r="26" spans="1:2" ht="44.1" customHeight="1" x14ac:dyDescent="0.25">
      <c r="A26" s="296" t="s">
        <v>1233</v>
      </c>
      <c r="B26">
        <v>5</v>
      </c>
    </row>
    <row r="27" spans="1:2" ht="44.45" customHeight="1" x14ac:dyDescent="0.25">
      <c r="A27" s="296" t="s">
        <v>1247</v>
      </c>
      <c r="B27">
        <v>1</v>
      </c>
    </row>
    <row r="28" spans="1:2" x14ac:dyDescent="0.25">
      <c r="A28" s="296" t="s">
        <v>1240</v>
      </c>
      <c r="B28">
        <v>8</v>
      </c>
    </row>
    <row r="29" spans="1:2" x14ac:dyDescent="0.25">
      <c r="A29" s="296" t="s">
        <v>1252</v>
      </c>
      <c r="B29">
        <v>1</v>
      </c>
    </row>
    <row r="30" spans="1:2" x14ac:dyDescent="0.25">
      <c r="A30" s="296" t="s">
        <v>1243</v>
      </c>
      <c r="B30">
        <v>4</v>
      </c>
    </row>
    <row r="31" spans="1:2" x14ac:dyDescent="0.25">
      <c r="A31" s="296" t="s">
        <v>1243</v>
      </c>
      <c r="B31">
        <v>2</v>
      </c>
    </row>
    <row r="32" spans="1:2" ht="30" x14ac:dyDescent="0.25">
      <c r="A32" s="296" t="s">
        <v>1237</v>
      </c>
      <c r="B32">
        <v>5</v>
      </c>
    </row>
    <row r="33" spans="1:2" ht="30" x14ac:dyDescent="0.25">
      <c r="A33" s="296" t="s">
        <v>1238</v>
      </c>
      <c r="B33">
        <v>12</v>
      </c>
    </row>
    <row r="34" spans="1:2" ht="29.1" customHeight="1" x14ac:dyDescent="0.25">
      <c r="A34" s="296" t="s">
        <v>1242</v>
      </c>
      <c r="B34">
        <v>2</v>
      </c>
    </row>
    <row r="35" spans="1:2" ht="17.100000000000001" customHeight="1" x14ac:dyDescent="0.25">
      <c r="A35" s="296" t="s">
        <v>1235</v>
      </c>
      <c r="B35">
        <v>12</v>
      </c>
    </row>
    <row r="36" spans="1:2" x14ac:dyDescent="0.25">
      <c r="A36" s="590" t="s">
        <v>571</v>
      </c>
      <c r="B36" s="591">
        <f>SUM(B19:B35)</f>
        <v>85</v>
      </c>
    </row>
    <row r="37" spans="1:2" x14ac:dyDescent="0.25">
      <c r="A37" s="590" t="s">
        <v>1321</v>
      </c>
      <c r="B37" s="592">
        <f>(15/85)</f>
        <v>0.17647058823529413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zoomScale="60" zoomScaleNormal="60" workbookViewId="0">
      <pane ySplit="1" topLeftCell="A2" activePane="bottomLeft" state="frozen"/>
      <selection activeCell="G1" sqref="G1"/>
      <selection pane="bottomLeft" activeCell="D1" sqref="D1"/>
    </sheetView>
  </sheetViews>
  <sheetFormatPr defaultRowHeight="15" x14ac:dyDescent="0.25"/>
  <cols>
    <col min="2" max="2" width="16.7109375" bestFit="1" customWidth="1"/>
    <col min="3" max="3" width="18.140625" bestFit="1" customWidth="1"/>
    <col min="4" max="4" width="12.140625" customWidth="1"/>
    <col min="5" max="5" width="15.5703125" customWidth="1"/>
    <col min="6" max="6" width="11.42578125" customWidth="1"/>
    <col min="7" max="7" width="12.85546875" customWidth="1"/>
    <col min="8" max="8" width="13.42578125" customWidth="1"/>
    <col min="9" max="9" width="12.140625" customWidth="1"/>
    <col min="10" max="10" width="13" customWidth="1"/>
    <col min="13" max="14" width="8.7109375" customWidth="1"/>
    <col min="16" max="16" width="10.85546875" customWidth="1"/>
    <col min="21" max="21" width="14.85546875" bestFit="1" customWidth="1"/>
    <col min="22" max="22" width="14.5703125" bestFit="1" customWidth="1"/>
    <col min="23" max="23" width="14.85546875" bestFit="1" customWidth="1"/>
    <col min="24" max="24" width="13.85546875" bestFit="1" customWidth="1"/>
    <col min="25" max="25" width="14.5703125" bestFit="1" customWidth="1"/>
    <col min="26" max="26" width="12.5703125" bestFit="1" customWidth="1"/>
  </cols>
  <sheetData>
    <row r="1" spans="1:32" s="78" customFormat="1" ht="102.6" customHeight="1" thickBot="1" x14ac:dyDescent="0.35">
      <c r="A1" s="160" t="s">
        <v>340</v>
      </c>
      <c r="B1" s="161" t="s">
        <v>0</v>
      </c>
      <c r="C1" s="162" t="s">
        <v>978</v>
      </c>
      <c r="D1" s="162" t="s">
        <v>1021</v>
      </c>
      <c r="E1" s="162" t="s">
        <v>1254</v>
      </c>
      <c r="F1" s="162" t="s">
        <v>1</v>
      </c>
      <c r="G1" s="161" t="s">
        <v>2</v>
      </c>
      <c r="H1" s="162" t="s">
        <v>979</v>
      </c>
      <c r="I1" s="161" t="s">
        <v>980</v>
      </c>
      <c r="J1" s="161" t="s">
        <v>1018</v>
      </c>
      <c r="K1" s="55" t="s">
        <v>981</v>
      </c>
      <c r="L1" s="161" t="s">
        <v>3</v>
      </c>
      <c r="M1" s="161" t="s">
        <v>4</v>
      </c>
      <c r="N1" s="161" t="s">
        <v>982</v>
      </c>
      <c r="O1" s="161" t="s">
        <v>983</v>
      </c>
      <c r="P1" s="162" t="s">
        <v>984</v>
      </c>
      <c r="Q1" s="162" t="s">
        <v>985</v>
      </c>
      <c r="R1" s="162" t="s">
        <v>986</v>
      </c>
      <c r="S1" s="162" t="s">
        <v>568</v>
      </c>
      <c r="T1" s="161" t="s">
        <v>987</v>
      </c>
      <c r="U1" s="161" t="s">
        <v>988</v>
      </c>
      <c r="V1" s="161" t="s">
        <v>989</v>
      </c>
      <c r="W1" s="162" t="s">
        <v>990</v>
      </c>
      <c r="X1" s="161" t="s">
        <v>991</v>
      </c>
      <c r="Y1" s="161" t="s">
        <v>1032</v>
      </c>
      <c r="Z1" s="187" t="s">
        <v>1213</v>
      </c>
      <c r="AA1" s="196"/>
      <c r="AB1" s="196" t="s">
        <v>1258</v>
      </c>
      <c r="AC1" s="196" t="s">
        <v>1261</v>
      </c>
      <c r="AD1" s="197" t="s">
        <v>1259</v>
      </c>
      <c r="AE1" s="204" t="s">
        <v>1260</v>
      </c>
      <c r="AF1" s="573"/>
    </row>
    <row r="2" spans="1:32" s="10" customFormat="1" ht="260.10000000000002" customHeight="1" thickBot="1" x14ac:dyDescent="0.3">
      <c r="A2" s="1">
        <v>1</v>
      </c>
      <c r="B2" s="3" t="s">
        <v>48</v>
      </c>
      <c r="C2" s="3" t="s">
        <v>49</v>
      </c>
      <c r="D2" s="3" t="s">
        <v>339</v>
      </c>
      <c r="E2" s="2" t="s">
        <v>1230</v>
      </c>
      <c r="F2" s="16" t="s">
        <v>51</v>
      </c>
      <c r="G2" s="4" t="s">
        <v>53</v>
      </c>
      <c r="H2" s="2" t="s">
        <v>50</v>
      </c>
      <c r="I2" s="12" t="s">
        <v>1000</v>
      </c>
      <c r="J2" s="2" t="s">
        <v>52</v>
      </c>
      <c r="K2" s="3" t="s">
        <v>10</v>
      </c>
      <c r="L2" s="3" t="s">
        <v>34</v>
      </c>
      <c r="M2" s="20" t="s">
        <v>34</v>
      </c>
      <c r="N2" s="20" t="s">
        <v>34</v>
      </c>
      <c r="O2" s="14" t="s">
        <v>54</v>
      </c>
      <c r="P2" s="3" t="s">
        <v>54</v>
      </c>
      <c r="Q2" s="163" t="s">
        <v>54</v>
      </c>
      <c r="R2" s="12">
        <v>150</v>
      </c>
      <c r="S2" s="12">
        <v>308</v>
      </c>
      <c r="T2" s="7">
        <f t="shared" ref="T2:T11" si="0">SUM(Q2:S2)</f>
        <v>458</v>
      </c>
      <c r="U2" s="8">
        <v>3400000</v>
      </c>
      <c r="V2" s="9">
        <v>599904</v>
      </c>
      <c r="W2" s="9">
        <f t="shared" ref="W2:W11" si="1">SUM(U2:V2)</f>
        <v>3999904</v>
      </c>
      <c r="X2" s="123">
        <v>69124</v>
      </c>
      <c r="Y2" s="77">
        <v>138248</v>
      </c>
      <c r="Z2" s="174">
        <v>0</v>
      </c>
      <c r="AA2" s="184"/>
      <c r="AB2" s="184">
        <v>0</v>
      </c>
      <c r="AC2" s="245">
        <v>69124</v>
      </c>
      <c r="AD2" s="245">
        <v>138248</v>
      </c>
      <c r="AE2" s="245">
        <f>AB2+AC2</f>
        <v>69124</v>
      </c>
      <c r="AF2" s="11"/>
    </row>
    <row r="3" spans="1:32" s="10" customFormat="1" ht="409.6" thickBot="1" x14ac:dyDescent="0.3">
      <c r="A3" s="1">
        <v>2</v>
      </c>
      <c r="B3" s="3" t="s">
        <v>79</v>
      </c>
      <c r="C3" s="3" t="s">
        <v>86</v>
      </c>
      <c r="D3" s="3" t="s">
        <v>339</v>
      </c>
      <c r="E3" s="3" t="s">
        <v>1230</v>
      </c>
      <c r="F3" s="3" t="s">
        <v>51</v>
      </c>
      <c r="G3" s="4" t="s">
        <v>89</v>
      </c>
      <c r="H3" s="2" t="s">
        <v>87</v>
      </c>
      <c r="I3" s="3" t="s">
        <v>1000</v>
      </c>
      <c r="J3" s="3" t="s">
        <v>88</v>
      </c>
      <c r="K3" s="3" t="s">
        <v>10</v>
      </c>
      <c r="L3" s="3" t="s">
        <v>34</v>
      </c>
      <c r="M3" s="3" t="s">
        <v>34</v>
      </c>
      <c r="N3" s="3" t="s">
        <v>34</v>
      </c>
      <c r="O3" s="17" t="s">
        <v>28</v>
      </c>
      <c r="P3" s="16" t="s">
        <v>90</v>
      </c>
      <c r="Q3" s="12">
        <v>500</v>
      </c>
      <c r="R3" s="12">
        <v>1500</v>
      </c>
      <c r="S3" s="27">
        <v>2750</v>
      </c>
      <c r="T3" s="7">
        <f t="shared" si="0"/>
        <v>4750</v>
      </c>
      <c r="U3" s="8">
        <v>13134966</v>
      </c>
      <c r="V3" s="9">
        <v>1583185</v>
      </c>
      <c r="W3" s="9">
        <f t="shared" si="1"/>
        <v>14718151</v>
      </c>
      <c r="X3" s="127">
        <v>169011</v>
      </c>
      <c r="Y3" s="77">
        <v>338022</v>
      </c>
      <c r="Z3" s="174">
        <v>169011</v>
      </c>
      <c r="AA3" s="184"/>
      <c r="AB3" s="184">
        <v>169011</v>
      </c>
      <c r="AC3" s="184">
        <v>169011</v>
      </c>
      <c r="AD3" s="181">
        <v>338022</v>
      </c>
      <c r="AE3" s="181">
        <f t="shared" ref="AE3" si="2">AB3+AC3</f>
        <v>338022</v>
      </c>
      <c r="AF3" s="11"/>
    </row>
    <row r="4" spans="1:32" s="10" customFormat="1" ht="210.95" customHeight="1" thickBot="1" x14ac:dyDescent="0.3">
      <c r="A4" s="1">
        <v>3</v>
      </c>
      <c r="B4" s="2" t="s">
        <v>79</v>
      </c>
      <c r="C4" s="3" t="s">
        <v>91</v>
      </c>
      <c r="D4" s="3" t="s">
        <v>339</v>
      </c>
      <c r="E4" s="3" t="s">
        <v>1230</v>
      </c>
      <c r="F4" s="3" t="s">
        <v>51</v>
      </c>
      <c r="G4" s="4" t="s">
        <v>95</v>
      </c>
      <c r="H4" s="2" t="s">
        <v>92</v>
      </c>
      <c r="I4" s="12" t="s">
        <v>1002</v>
      </c>
      <c r="J4" s="3" t="s">
        <v>93</v>
      </c>
      <c r="K4" s="3" t="s">
        <v>94</v>
      </c>
      <c r="L4" s="3" t="s">
        <v>1057</v>
      </c>
      <c r="M4" s="3" t="s">
        <v>1058</v>
      </c>
      <c r="N4" s="3" t="s">
        <v>1058</v>
      </c>
      <c r="O4" s="17" t="s">
        <v>28</v>
      </c>
      <c r="P4" s="16" t="s">
        <v>90</v>
      </c>
      <c r="Q4" s="12">
        <v>500</v>
      </c>
      <c r="R4" s="12">
        <v>1500</v>
      </c>
      <c r="S4" s="12">
        <v>2750</v>
      </c>
      <c r="T4" s="7">
        <f t="shared" si="0"/>
        <v>4750</v>
      </c>
      <c r="U4" s="8">
        <v>16418710</v>
      </c>
      <c r="V4" s="9">
        <v>1622256</v>
      </c>
      <c r="W4" s="9">
        <f t="shared" si="1"/>
        <v>18040966</v>
      </c>
      <c r="X4" s="158" t="s">
        <v>1110</v>
      </c>
      <c r="Y4" s="158" t="s">
        <v>1036</v>
      </c>
      <c r="Z4" s="188" t="s">
        <v>1218</v>
      </c>
      <c r="AA4" s="182"/>
      <c r="AB4" s="182" t="s">
        <v>1220</v>
      </c>
      <c r="AC4" s="182">
        <f>84506*2</f>
        <v>169012</v>
      </c>
      <c r="AD4" s="246">
        <f>169012*2</f>
        <v>338024</v>
      </c>
      <c r="AE4" s="245">
        <f>SUM(AB4:AC4)</f>
        <v>169012</v>
      </c>
      <c r="AF4" s="11"/>
    </row>
    <row r="5" spans="1:32" s="10" customFormat="1" ht="270.60000000000002" customHeight="1" thickBot="1" x14ac:dyDescent="0.3">
      <c r="A5" s="31">
        <v>4</v>
      </c>
      <c r="B5" s="3" t="s">
        <v>96</v>
      </c>
      <c r="C5" s="3" t="s">
        <v>113</v>
      </c>
      <c r="D5" s="3" t="s">
        <v>339</v>
      </c>
      <c r="E5" s="2" t="s">
        <v>1227</v>
      </c>
      <c r="F5" s="32" t="s">
        <v>8</v>
      </c>
      <c r="G5" s="4" t="s">
        <v>116</v>
      </c>
      <c r="H5" s="57" t="s">
        <v>114</v>
      </c>
      <c r="I5" s="12" t="s">
        <v>1007</v>
      </c>
      <c r="J5" s="3" t="s">
        <v>115</v>
      </c>
      <c r="K5" s="3" t="s">
        <v>94</v>
      </c>
      <c r="L5" s="3" t="s">
        <v>34</v>
      </c>
      <c r="M5" s="3" t="s">
        <v>34</v>
      </c>
      <c r="N5" s="3" t="s">
        <v>34</v>
      </c>
      <c r="O5" s="17" t="s">
        <v>28</v>
      </c>
      <c r="P5" s="16" t="s">
        <v>117</v>
      </c>
      <c r="Q5" s="12">
        <v>50</v>
      </c>
      <c r="R5" s="12">
        <v>122</v>
      </c>
      <c r="S5" s="21">
        <v>223</v>
      </c>
      <c r="T5" s="7">
        <f t="shared" si="0"/>
        <v>395</v>
      </c>
      <c r="U5" s="22">
        <v>6895366.5</v>
      </c>
      <c r="V5" s="9">
        <v>1088050</v>
      </c>
      <c r="W5" s="9">
        <f t="shared" si="1"/>
        <v>7983416.5</v>
      </c>
      <c r="X5" s="158" t="s">
        <v>1037</v>
      </c>
      <c r="Y5" s="158" t="s">
        <v>1037</v>
      </c>
      <c r="Z5" s="188">
        <v>0</v>
      </c>
      <c r="AA5" s="182"/>
      <c r="AB5" s="182">
        <v>0</v>
      </c>
      <c r="AC5" s="182">
        <f>116002*2</f>
        <v>232004</v>
      </c>
      <c r="AD5" s="11">
        <f>116002*2</f>
        <v>232004</v>
      </c>
      <c r="AE5" s="181">
        <f t="shared" ref="AE5:AE6" si="3">AB5+AC5</f>
        <v>232004</v>
      </c>
      <c r="AF5" s="11"/>
    </row>
    <row r="6" spans="1:32" s="10" customFormat="1" ht="227.45" customHeight="1" thickBot="1" x14ac:dyDescent="0.3">
      <c r="A6" s="1">
        <v>5</v>
      </c>
      <c r="B6" s="2" t="s">
        <v>96</v>
      </c>
      <c r="C6" s="3" t="s">
        <v>118</v>
      </c>
      <c r="D6" s="3" t="s">
        <v>339</v>
      </c>
      <c r="E6" s="3" t="s">
        <v>1232</v>
      </c>
      <c r="F6" s="12" t="s">
        <v>120</v>
      </c>
      <c r="G6" s="4" t="s">
        <v>121</v>
      </c>
      <c r="H6" s="2" t="s">
        <v>119</v>
      </c>
      <c r="I6" s="12" t="s">
        <v>992</v>
      </c>
      <c r="J6" s="3" t="s">
        <v>279</v>
      </c>
      <c r="K6" s="3" t="s">
        <v>10</v>
      </c>
      <c r="L6" s="3" t="s">
        <v>34</v>
      </c>
      <c r="M6" s="3" t="s">
        <v>34</v>
      </c>
      <c r="N6" s="3" t="s">
        <v>34</v>
      </c>
      <c r="O6" s="17" t="s">
        <v>12</v>
      </c>
      <c r="P6" s="16" t="s">
        <v>122</v>
      </c>
      <c r="Q6" s="12">
        <v>700</v>
      </c>
      <c r="R6" s="12">
        <v>1263</v>
      </c>
      <c r="S6" s="12">
        <v>1700</v>
      </c>
      <c r="T6" s="7">
        <f t="shared" si="0"/>
        <v>3663</v>
      </c>
      <c r="U6" s="22">
        <v>392608</v>
      </c>
      <c r="V6" s="9">
        <v>123077</v>
      </c>
      <c r="W6" s="9">
        <f t="shared" si="1"/>
        <v>515685</v>
      </c>
      <c r="X6" s="127">
        <v>5809</v>
      </c>
      <c r="Y6" s="77">
        <v>11618</v>
      </c>
      <c r="Z6" s="174">
        <v>0</v>
      </c>
      <c r="AA6" s="184"/>
      <c r="AB6" s="184">
        <v>0</v>
      </c>
      <c r="AC6" s="245">
        <v>5809</v>
      </c>
      <c r="AD6" s="245">
        <v>11618</v>
      </c>
      <c r="AE6" s="245">
        <f t="shared" si="3"/>
        <v>5809</v>
      </c>
      <c r="AF6" s="11"/>
    </row>
    <row r="7" spans="1:32" s="10" customFormat="1" ht="166.5" customHeight="1" thickBot="1" x14ac:dyDescent="0.3">
      <c r="A7" s="34">
        <v>6</v>
      </c>
      <c r="B7" s="2" t="s">
        <v>96</v>
      </c>
      <c r="C7" s="3" t="s">
        <v>128</v>
      </c>
      <c r="D7" s="3" t="s">
        <v>339</v>
      </c>
      <c r="E7" s="3" t="s">
        <v>1226</v>
      </c>
      <c r="F7" s="3" t="s">
        <v>17</v>
      </c>
      <c r="G7" s="4" t="s">
        <v>130</v>
      </c>
      <c r="H7" s="2" t="s">
        <v>1033</v>
      </c>
      <c r="I7" s="12" t="s">
        <v>1005</v>
      </c>
      <c r="J7" s="3" t="s">
        <v>129</v>
      </c>
      <c r="K7" s="3" t="s">
        <v>94</v>
      </c>
      <c r="L7" s="3" t="s">
        <v>131</v>
      </c>
      <c r="M7" s="3" t="s">
        <v>132</v>
      </c>
      <c r="N7" s="3" t="s">
        <v>133</v>
      </c>
      <c r="O7" s="17" t="s">
        <v>28</v>
      </c>
      <c r="P7" s="29" t="s">
        <v>134</v>
      </c>
      <c r="Q7" s="12">
        <v>60</v>
      </c>
      <c r="R7" s="12">
        <v>410</v>
      </c>
      <c r="S7" s="12">
        <v>810</v>
      </c>
      <c r="T7" s="12">
        <f t="shared" si="0"/>
        <v>1280</v>
      </c>
      <c r="U7" s="35">
        <v>14039785</v>
      </c>
      <c r="V7" s="9">
        <v>2490396</v>
      </c>
      <c r="W7" s="9">
        <f t="shared" si="1"/>
        <v>16530181</v>
      </c>
      <c r="X7" s="158" t="s">
        <v>1093</v>
      </c>
      <c r="Y7" s="158" t="s">
        <v>1034</v>
      </c>
      <c r="Z7" s="188">
        <v>123822</v>
      </c>
      <c r="AA7" s="182"/>
      <c r="AB7" s="182">
        <v>123822</v>
      </c>
      <c r="AC7" s="182">
        <f>123822+247644</f>
        <v>371466</v>
      </c>
      <c r="AD7" s="11">
        <f>247644*2</f>
        <v>495288</v>
      </c>
      <c r="AE7" s="181">
        <f>AB7+AC7</f>
        <v>495288</v>
      </c>
      <c r="AF7" s="11"/>
    </row>
    <row r="8" spans="1:32" s="11" customFormat="1" ht="157.5" customHeight="1" thickBot="1" x14ac:dyDescent="0.3">
      <c r="A8" s="34">
        <v>7</v>
      </c>
      <c r="B8" s="3" t="s">
        <v>96</v>
      </c>
      <c r="C8" s="3" t="s">
        <v>172</v>
      </c>
      <c r="D8" s="3" t="s">
        <v>339</v>
      </c>
      <c r="E8" s="3" t="s">
        <v>1226</v>
      </c>
      <c r="F8" s="12" t="s">
        <v>17</v>
      </c>
      <c r="G8" s="4" t="s">
        <v>173</v>
      </c>
      <c r="H8" s="2" t="s">
        <v>1041</v>
      </c>
      <c r="I8" s="12" t="s">
        <v>1005</v>
      </c>
      <c r="J8" s="12" t="s">
        <v>1181</v>
      </c>
      <c r="K8" s="3" t="s">
        <v>94</v>
      </c>
      <c r="L8" s="14" t="s">
        <v>174</v>
      </c>
      <c r="M8" s="6" t="s">
        <v>175</v>
      </c>
      <c r="N8" s="15" t="s">
        <v>176</v>
      </c>
      <c r="O8" s="5" t="s">
        <v>28</v>
      </c>
      <c r="P8" s="16" t="s">
        <v>177</v>
      </c>
      <c r="Q8" s="12">
        <v>20</v>
      </c>
      <c r="R8" s="3">
        <v>100</v>
      </c>
      <c r="S8" s="3">
        <v>309</v>
      </c>
      <c r="T8" s="12">
        <f t="shared" si="0"/>
        <v>429</v>
      </c>
      <c r="U8" s="8">
        <v>6586745.1500000004</v>
      </c>
      <c r="V8" s="9">
        <v>894968</v>
      </c>
      <c r="W8" s="36">
        <f t="shared" si="1"/>
        <v>7481713.1500000004</v>
      </c>
      <c r="X8" s="158" t="s">
        <v>1095</v>
      </c>
      <c r="Y8" s="158" t="s">
        <v>1094</v>
      </c>
      <c r="Z8" s="188">
        <v>0</v>
      </c>
      <c r="AA8" s="182"/>
      <c r="AB8" s="182">
        <v>0</v>
      </c>
      <c r="AC8" s="244">
        <f>87328+43664</f>
        <v>130992</v>
      </c>
      <c r="AD8" s="246">
        <f>87328*2</f>
        <v>174656</v>
      </c>
      <c r="AE8" s="245">
        <f t="shared" ref="AE8:AE17" si="4">AB8+AC8</f>
        <v>130992</v>
      </c>
    </row>
    <row r="9" spans="1:32" s="10" customFormat="1" ht="90.95" customHeight="1" thickBot="1" x14ac:dyDescent="0.3">
      <c r="A9" s="1">
        <v>8</v>
      </c>
      <c r="B9" s="3" t="s">
        <v>96</v>
      </c>
      <c r="C9" s="3" t="s">
        <v>178</v>
      </c>
      <c r="D9" s="3" t="s">
        <v>339</v>
      </c>
      <c r="E9" s="2" t="s">
        <v>1230</v>
      </c>
      <c r="F9" s="16" t="s">
        <v>51</v>
      </c>
      <c r="G9" s="4" t="s">
        <v>181</v>
      </c>
      <c r="H9" s="58" t="s">
        <v>179</v>
      </c>
      <c r="I9" s="16" t="s">
        <v>1000</v>
      </c>
      <c r="J9" s="12" t="s">
        <v>180</v>
      </c>
      <c r="K9" s="12" t="s">
        <v>63</v>
      </c>
      <c r="L9" s="3" t="s">
        <v>1057</v>
      </c>
      <c r="M9" s="3" t="s">
        <v>1057</v>
      </c>
      <c r="N9" s="3" t="s">
        <v>1058</v>
      </c>
      <c r="O9" s="17" t="s">
        <v>28</v>
      </c>
      <c r="P9" s="16" t="s">
        <v>182</v>
      </c>
      <c r="Q9" s="12">
        <v>800</v>
      </c>
      <c r="R9" s="12">
        <v>1800</v>
      </c>
      <c r="S9" s="21">
        <v>3200</v>
      </c>
      <c r="T9" s="7">
        <f t="shared" si="0"/>
        <v>5800</v>
      </c>
      <c r="U9" s="8">
        <v>19142531.77</v>
      </c>
      <c r="V9" s="9">
        <v>839770</v>
      </c>
      <c r="W9" s="9">
        <f t="shared" si="1"/>
        <v>19982301.77</v>
      </c>
      <c r="X9" s="158" t="s">
        <v>1096</v>
      </c>
      <c r="Y9" s="158" t="s">
        <v>1035</v>
      </c>
      <c r="Z9" s="188">
        <v>0</v>
      </c>
      <c r="AA9" s="182"/>
      <c r="AB9" s="182">
        <v>0</v>
      </c>
      <c r="AC9" s="244">
        <f>32585*2</f>
        <v>65170</v>
      </c>
      <c r="AD9" s="246">
        <f>65170*2</f>
        <v>130340</v>
      </c>
      <c r="AE9" s="245">
        <f t="shared" si="4"/>
        <v>65170</v>
      </c>
      <c r="AF9" s="11"/>
    </row>
    <row r="10" spans="1:32" s="10" customFormat="1" ht="107.45" customHeight="1" thickBot="1" x14ac:dyDescent="0.3">
      <c r="A10" s="1">
        <v>9</v>
      </c>
      <c r="B10" s="3" t="s">
        <v>96</v>
      </c>
      <c r="C10" s="3" t="s">
        <v>197</v>
      </c>
      <c r="D10" s="3" t="s">
        <v>339</v>
      </c>
      <c r="E10" s="2" t="s">
        <v>1229</v>
      </c>
      <c r="F10" s="16" t="s">
        <v>17</v>
      </c>
      <c r="G10" s="4" t="s">
        <v>199</v>
      </c>
      <c r="H10" s="2" t="s">
        <v>198</v>
      </c>
      <c r="I10" s="16" t="s">
        <v>1006</v>
      </c>
      <c r="J10" s="3" t="s">
        <v>115</v>
      </c>
      <c r="K10" s="12" t="s">
        <v>94</v>
      </c>
      <c r="L10" s="3" t="s">
        <v>200</v>
      </c>
      <c r="M10" s="3" t="s">
        <v>201</v>
      </c>
      <c r="N10" s="3" t="s">
        <v>202</v>
      </c>
      <c r="O10" s="17" t="s">
        <v>189</v>
      </c>
      <c r="P10" s="16" t="s">
        <v>190</v>
      </c>
      <c r="Q10" s="12">
        <v>42</v>
      </c>
      <c r="R10" s="12">
        <v>84</v>
      </c>
      <c r="S10" s="12">
        <v>129</v>
      </c>
      <c r="T10" s="7">
        <f t="shared" si="0"/>
        <v>255</v>
      </c>
      <c r="U10" s="22">
        <v>2711436</v>
      </c>
      <c r="V10" s="9">
        <v>666278</v>
      </c>
      <c r="W10" s="9">
        <f t="shared" si="1"/>
        <v>3377714</v>
      </c>
      <c r="X10" s="158" t="s">
        <v>1097</v>
      </c>
      <c r="Y10" s="158" t="s">
        <v>1038</v>
      </c>
      <c r="Z10" s="188">
        <v>0</v>
      </c>
      <c r="AA10" s="182"/>
      <c r="AB10" s="182">
        <v>0</v>
      </c>
      <c r="AC10" s="244">
        <f>35517+71034</f>
        <v>106551</v>
      </c>
      <c r="AD10" s="246">
        <f>71034*2</f>
        <v>142068</v>
      </c>
      <c r="AE10" s="245">
        <f t="shared" si="4"/>
        <v>106551</v>
      </c>
      <c r="AF10" s="11"/>
    </row>
    <row r="11" spans="1:32" s="10" customFormat="1" ht="107.45" customHeight="1" thickBot="1" x14ac:dyDescent="0.3">
      <c r="A11" s="1">
        <v>10</v>
      </c>
      <c r="B11" s="2" t="s">
        <v>96</v>
      </c>
      <c r="C11" s="3" t="s">
        <v>203</v>
      </c>
      <c r="D11" s="3" t="s">
        <v>339</v>
      </c>
      <c r="E11" s="2" t="s">
        <v>1229</v>
      </c>
      <c r="F11" s="16" t="s">
        <v>17</v>
      </c>
      <c r="G11" s="4" t="s">
        <v>205</v>
      </c>
      <c r="H11" s="2" t="s">
        <v>204</v>
      </c>
      <c r="I11" s="16" t="s">
        <v>1009</v>
      </c>
      <c r="J11" s="3" t="s">
        <v>1128</v>
      </c>
      <c r="K11" s="12" t="s">
        <v>94</v>
      </c>
      <c r="L11" s="3" t="s">
        <v>1057</v>
      </c>
      <c r="M11" s="3" t="s">
        <v>1057</v>
      </c>
      <c r="N11" s="3" t="s">
        <v>1058</v>
      </c>
      <c r="O11" s="17" t="s">
        <v>189</v>
      </c>
      <c r="P11" s="16" t="s">
        <v>190</v>
      </c>
      <c r="Q11" s="3">
        <v>84</v>
      </c>
      <c r="R11" s="3">
        <v>136</v>
      </c>
      <c r="S11" s="3">
        <v>189</v>
      </c>
      <c r="T11" s="7">
        <f t="shared" si="0"/>
        <v>409</v>
      </c>
      <c r="U11" s="22">
        <v>3547932</v>
      </c>
      <c r="V11" s="9">
        <v>611264</v>
      </c>
      <c r="W11" s="9">
        <f t="shared" si="1"/>
        <v>4159196</v>
      </c>
      <c r="X11" s="158" t="s">
        <v>1096</v>
      </c>
      <c r="Y11" s="158" t="s">
        <v>1035</v>
      </c>
      <c r="Z11" s="188">
        <v>0</v>
      </c>
      <c r="AA11" s="182"/>
      <c r="AB11" s="182">
        <v>0</v>
      </c>
      <c r="AC11" s="244">
        <f>32585*2</f>
        <v>65170</v>
      </c>
      <c r="AD11" s="246">
        <f>65170*2</f>
        <v>130340</v>
      </c>
      <c r="AE11" s="245">
        <f t="shared" si="4"/>
        <v>65170</v>
      </c>
      <c r="AF11" s="11"/>
    </row>
    <row r="12" spans="1:32" s="10" customFormat="1" ht="182.1" customHeight="1" thickBot="1" x14ac:dyDescent="0.3">
      <c r="A12" s="1">
        <v>11</v>
      </c>
      <c r="B12" s="2" t="s">
        <v>96</v>
      </c>
      <c r="C12" s="3" t="s">
        <v>206</v>
      </c>
      <c r="D12" s="3" t="s">
        <v>339</v>
      </c>
      <c r="E12" s="2" t="s">
        <v>1229</v>
      </c>
      <c r="F12" s="32" t="s">
        <v>1025</v>
      </c>
      <c r="G12" s="4" t="s">
        <v>210</v>
      </c>
      <c r="H12" s="2" t="s">
        <v>207</v>
      </c>
      <c r="I12" s="16" t="s">
        <v>994</v>
      </c>
      <c r="J12" s="3" t="s">
        <v>208</v>
      </c>
      <c r="K12" s="12" t="s">
        <v>209</v>
      </c>
      <c r="L12" s="3" t="s">
        <v>1063</v>
      </c>
      <c r="M12" s="3" t="s">
        <v>1063</v>
      </c>
      <c r="N12" s="3" t="s">
        <v>1064</v>
      </c>
      <c r="O12" s="17" t="s">
        <v>189</v>
      </c>
      <c r="P12" s="16" t="s">
        <v>190</v>
      </c>
      <c r="Q12" s="12">
        <v>750</v>
      </c>
      <c r="R12" s="12">
        <v>1750</v>
      </c>
      <c r="S12" s="12">
        <v>3000</v>
      </c>
      <c r="T12" s="7">
        <f t="shared" ref="T12:T17" si="5">SUM(Q12:S12)</f>
        <v>5500</v>
      </c>
      <c r="U12" s="22">
        <v>4041000</v>
      </c>
      <c r="V12" s="9">
        <v>611262</v>
      </c>
      <c r="W12" s="9">
        <f t="shared" ref="W12:W17" si="6">SUM(U12:V12)</f>
        <v>4652262</v>
      </c>
      <c r="X12" s="158" t="s">
        <v>1098</v>
      </c>
      <c r="Y12" s="158" t="s">
        <v>1039</v>
      </c>
      <c r="Z12" s="188">
        <v>0</v>
      </c>
      <c r="AA12" s="182"/>
      <c r="AB12" s="182">
        <v>0</v>
      </c>
      <c r="AC12" s="244">
        <f>21723*3</f>
        <v>65169</v>
      </c>
      <c r="AD12" s="246">
        <f>43446*3</f>
        <v>130338</v>
      </c>
      <c r="AE12" s="245">
        <f t="shared" si="4"/>
        <v>65169</v>
      </c>
      <c r="AF12" s="11"/>
    </row>
    <row r="13" spans="1:32" s="10" customFormat="1" ht="183.6" customHeight="1" thickBot="1" x14ac:dyDescent="0.3">
      <c r="A13" s="1">
        <v>12</v>
      </c>
      <c r="B13" s="2" t="s">
        <v>96</v>
      </c>
      <c r="C13" s="3" t="s">
        <v>211</v>
      </c>
      <c r="D13" s="3" t="s">
        <v>339</v>
      </c>
      <c r="E13" s="2" t="s">
        <v>1229</v>
      </c>
      <c r="F13" s="16" t="s">
        <v>8</v>
      </c>
      <c r="G13" s="4" t="s">
        <v>214</v>
      </c>
      <c r="H13" s="2" t="s">
        <v>212</v>
      </c>
      <c r="I13" s="16" t="s">
        <v>1010</v>
      </c>
      <c r="J13" s="3" t="s">
        <v>213</v>
      </c>
      <c r="K13" s="12" t="s">
        <v>63</v>
      </c>
      <c r="L13" s="3" t="s">
        <v>1057</v>
      </c>
      <c r="M13" s="3" t="s">
        <v>1057</v>
      </c>
      <c r="N13" s="3" t="s">
        <v>1057</v>
      </c>
      <c r="O13" s="17" t="s">
        <v>189</v>
      </c>
      <c r="P13" s="16" t="s">
        <v>190</v>
      </c>
      <c r="Q13" s="3">
        <v>150</v>
      </c>
      <c r="R13" s="3">
        <v>300</v>
      </c>
      <c r="S13" s="3">
        <v>450</v>
      </c>
      <c r="T13" s="7">
        <f t="shared" si="5"/>
        <v>900</v>
      </c>
      <c r="U13" s="22">
        <v>9863100</v>
      </c>
      <c r="V13" s="9">
        <v>1531216</v>
      </c>
      <c r="W13" s="9">
        <f t="shared" si="6"/>
        <v>11394316</v>
      </c>
      <c r="X13" s="158" t="s">
        <v>1107</v>
      </c>
      <c r="Y13" s="158" t="s">
        <v>1040</v>
      </c>
      <c r="Z13" s="188">
        <v>0</v>
      </c>
      <c r="AA13" s="182"/>
      <c r="AB13" s="182">
        <v>0</v>
      </c>
      <c r="AC13" s="244">
        <f>81625*2</f>
        <v>163250</v>
      </c>
      <c r="AD13" s="246">
        <f>163250*2</f>
        <v>326500</v>
      </c>
      <c r="AE13" s="245">
        <f t="shared" si="4"/>
        <v>163250</v>
      </c>
      <c r="AF13" s="11"/>
    </row>
    <row r="14" spans="1:32" s="10" customFormat="1" ht="92.1" customHeight="1" thickBot="1" x14ac:dyDescent="0.3">
      <c r="A14" s="1">
        <v>13</v>
      </c>
      <c r="B14" s="2" t="s">
        <v>261</v>
      </c>
      <c r="C14" s="3" t="s">
        <v>1234</v>
      </c>
      <c r="D14" s="3" t="s">
        <v>339</v>
      </c>
      <c r="E14" s="3" t="s">
        <v>1235</v>
      </c>
      <c r="F14" s="12" t="s">
        <v>1020</v>
      </c>
      <c r="G14" s="4" t="s">
        <v>264</v>
      </c>
      <c r="H14" s="2" t="s">
        <v>262</v>
      </c>
      <c r="I14" s="12" t="s">
        <v>992</v>
      </c>
      <c r="J14" s="3" t="s">
        <v>263</v>
      </c>
      <c r="K14" s="12" t="s">
        <v>10</v>
      </c>
      <c r="L14" s="3" t="s">
        <v>34</v>
      </c>
      <c r="M14" s="3" t="s">
        <v>34</v>
      </c>
      <c r="N14" s="3" t="s">
        <v>34</v>
      </c>
      <c r="O14" s="17" t="s">
        <v>189</v>
      </c>
      <c r="P14" s="16" t="s">
        <v>265</v>
      </c>
      <c r="Q14" s="12">
        <v>0</v>
      </c>
      <c r="R14" s="12">
        <v>100</v>
      </c>
      <c r="S14" s="12">
        <v>250</v>
      </c>
      <c r="T14" s="7">
        <f t="shared" si="5"/>
        <v>350</v>
      </c>
      <c r="U14" s="22">
        <v>3533333</v>
      </c>
      <c r="V14" s="9">
        <v>448743</v>
      </c>
      <c r="W14" s="9">
        <f t="shared" si="6"/>
        <v>3982076</v>
      </c>
      <c r="X14" s="165">
        <v>40419</v>
      </c>
      <c r="Y14" s="77">
        <v>80838</v>
      </c>
      <c r="Z14" s="174">
        <v>42419</v>
      </c>
      <c r="AA14" s="184"/>
      <c r="AB14" s="184">
        <v>42419</v>
      </c>
      <c r="AC14" s="184">
        <v>40419</v>
      </c>
      <c r="AD14" s="181">
        <v>80838</v>
      </c>
      <c r="AE14" s="181">
        <f t="shared" si="4"/>
        <v>82838</v>
      </c>
      <c r="AF14" s="11"/>
    </row>
    <row r="15" spans="1:32" s="24" customFormat="1" ht="409.6" thickBot="1" x14ac:dyDescent="0.3">
      <c r="A15" s="1">
        <v>14</v>
      </c>
      <c r="B15" s="3" t="s">
        <v>276</v>
      </c>
      <c r="C15" s="3" t="s">
        <v>277</v>
      </c>
      <c r="D15" s="3" t="s">
        <v>339</v>
      </c>
      <c r="E15" s="3" t="s">
        <v>1230</v>
      </c>
      <c r="F15" s="3" t="s">
        <v>51</v>
      </c>
      <c r="G15" s="4" t="s">
        <v>280</v>
      </c>
      <c r="H15" s="2" t="s">
        <v>278</v>
      </c>
      <c r="I15" s="3" t="s">
        <v>995</v>
      </c>
      <c r="J15" s="3" t="s">
        <v>279</v>
      </c>
      <c r="K15" s="12" t="s">
        <v>10</v>
      </c>
      <c r="L15" s="3" t="s">
        <v>34</v>
      </c>
      <c r="M15" s="3" t="s">
        <v>281</v>
      </c>
      <c r="N15" s="3" t="s">
        <v>34</v>
      </c>
      <c r="O15" s="17" t="s">
        <v>28</v>
      </c>
      <c r="P15" s="16" t="s">
        <v>282</v>
      </c>
      <c r="Q15" s="12">
        <v>125</v>
      </c>
      <c r="R15" s="12">
        <v>275</v>
      </c>
      <c r="S15" s="12">
        <v>475</v>
      </c>
      <c r="T15" s="7">
        <f t="shared" si="5"/>
        <v>875</v>
      </c>
      <c r="U15" s="8">
        <v>3550000</v>
      </c>
      <c r="V15" s="23">
        <v>450000</v>
      </c>
      <c r="W15" s="9">
        <f t="shared" si="6"/>
        <v>4000000</v>
      </c>
      <c r="X15" s="49">
        <v>25000</v>
      </c>
      <c r="Y15" s="158">
        <v>75000</v>
      </c>
      <c r="Z15" s="225">
        <v>0</v>
      </c>
      <c r="AA15" s="182"/>
      <c r="AB15" s="182">
        <v>0</v>
      </c>
      <c r="AC15" s="244">
        <v>25000</v>
      </c>
      <c r="AD15" s="244">
        <v>75000</v>
      </c>
      <c r="AE15" s="245">
        <f t="shared" si="4"/>
        <v>25000</v>
      </c>
      <c r="AF15" s="11"/>
    </row>
    <row r="16" spans="1:32" s="24" customFormat="1" ht="137.1" customHeight="1" thickBot="1" x14ac:dyDescent="0.3">
      <c r="A16" s="1">
        <v>15</v>
      </c>
      <c r="B16" s="2" t="s">
        <v>321</v>
      </c>
      <c r="C16" s="38" t="s">
        <v>327</v>
      </c>
      <c r="D16" s="3" t="s">
        <v>339</v>
      </c>
      <c r="E16" s="3" t="s">
        <v>1229</v>
      </c>
      <c r="F16" s="12" t="s">
        <v>1020</v>
      </c>
      <c r="G16" s="4" t="s">
        <v>330</v>
      </c>
      <c r="H16" s="173" t="s">
        <v>328</v>
      </c>
      <c r="I16" s="12" t="s">
        <v>992</v>
      </c>
      <c r="J16" s="3" t="s">
        <v>329</v>
      </c>
      <c r="K16" s="39" t="s">
        <v>10</v>
      </c>
      <c r="L16" s="3" t="s">
        <v>34</v>
      </c>
      <c r="M16" s="3" t="s">
        <v>35</v>
      </c>
      <c r="N16" s="3" t="s">
        <v>34</v>
      </c>
      <c r="O16" s="17" t="s">
        <v>28</v>
      </c>
      <c r="P16" s="16" t="s">
        <v>222</v>
      </c>
      <c r="Q16" s="12">
        <v>10</v>
      </c>
      <c r="R16" s="12">
        <v>30</v>
      </c>
      <c r="S16" s="12">
        <v>55</v>
      </c>
      <c r="T16" s="7">
        <f t="shared" si="5"/>
        <v>95</v>
      </c>
      <c r="U16" s="8">
        <v>661274</v>
      </c>
      <c r="V16" s="23">
        <v>152597</v>
      </c>
      <c r="W16" s="9">
        <f t="shared" si="6"/>
        <v>813871</v>
      </c>
      <c r="X16" s="49">
        <v>15279</v>
      </c>
      <c r="Y16" s="158">
        <v>30558</v>
      </c>
      <c r="Z16" s="188">
        <v>0</v>
      </c>
      <c r="AA16" s="182"/>
      <c r="AB16" s="182">
        <v>0</v>
      </c>
      <c r="AC16" s="244">
        <v>15279</v>
      </c>
      <c r="AD16" s="244">
        <v>30558</v>
      </c>
      <c r="AE16" s="245">
        <f t="shared" si="4"/>
        <v>15279</v>
      </c>
      <c r="AF16" s="11"/>
    </row>
    <row r="17" spans="1:32" s="24" customFormat="1" ht="210.6" customHeight="1" thickBot="1" x14ac:dyDescent="0.3">
      <c r="A17" s="1">
        <v>16</v>
      </c>
      <c r="B17" s="12" t="s">
        <v>321</v>
      </c>
      <c r="C17" s="3" t="s">
        <v>336</v>
      </c>
      <c r="D17" s="3" t="s">
        <v>339</v>
      </c>
      <c r="E17" s="3" t="s">
        <v>1229</v>
      </c>
      <c r="F17" s="12" t="s">
        <v>17</v>
      </c>
      <c r="G17" s="4" t="s">
        <v>338</v>
      </c>
      <c r="H17" s="2" t="s">
        <v>337</v>
      </c>
      <c r="I17" s="12" t="s">
        <v>995</v>
      </c>
      <c r="J17" s="3" t="s">
        <v>58</v>
      </c>
      <c r="K17" s="12" t="s">
        <v>10</v>
      </c>
      <c r="L17" s="3" t="s">
        <v>34</v>
      </c>
      <c r="M17" s="3" t="s">
        <v>34</v>
      </c>
      <c r="N17" s="3" t="s">
        <v>34</v>
      </c>
      <c r="O17" s="17" t="s">
        <v>189</v>
      </c>
      <c r="P17" s="16" t="s">
        <v>190</v>
      </c>
      <c r="Q17" s="12">
        <v>0</v>
      </c>
      <c r="R17" s="12">
        <v>20</v>
      </c>
      <c r="S17" s="12">
        <v>50</v>
      </c>
      <c r="T17" s="7">
        <f t="shared" si="5"/>
        <v>70</v>
      </c>
      <c r="U17" s="22">
        <v>918000</v>
      </c>
      <c r="V17" s="23">
        <v>124177</v>
      </c>
      <c r="W17" s="9">
        <f t="shared" si="6"/>
        <v>1042177</v>
      </c>
      <c r="X17" s="49">
        <v>13096</v>
      </c>
      <c r="Y17" s="158">
        <v>26192</v>
      </c>
      <c r="Z17" s="188">
        <v>0</v>
      </c>
      <c r="AA17" s="182"/>
      <c r="AB17" s="182">
        <v>0</v>
      </c>
      <c r="AC17" s="244">
        <v>13096</v>
      </c>
      <c r="AD17" s="244">
        <v>26192</v>
      </c>
      <c r="AE17" s="245">
        <f t="shared" si="4"/>
        <v>13096</v>
      </c>
      <c r="AF17" s="11"/>
    </row>
    <row r="18" spans="1:32" s="78" customFormat="1" ht="78.95" customHeight="1" thickBot="1" x14ac:dyDescent="0.25">
      <c r="A18" s="41">
        <v>17</v>
      </c>
      <c r="B18" s="12" t="s">
        <v>55</v>
      </c>
      <c r="C18" s="12" t="s">
        <v>345</v>
      </c>
      <c r="D18" s="12" t="s">
        <v>1019</v>
      </c>
      <c r="E18" s="12" t="s">
        <v>1225</v>
      </c>
      <c r="F18" s="12" t="s">
        <v>575</v>
      </c>
      <c r="G18" s="4" t="s">
        <v>366</v>
      </c>
      <c r="H18" s="57" t="s">
        <v>346</v>
      </c>
      <c r="I18" s="12" t="s">
        <v>993</v>
      </c>
      <c r="J18" s="12" t="s">
        <v>347</v>
      </c>
      <c r="K18" s="4" t="s">
        <v>10</v>
      </c>
      <c r="L18" s="575" t="s">
        <v>34</v>
      </c>
      <c r="M18" s="575" t="s">
        <v>375</v>
      </c>
      <c r="N18" s="13" t="s">
        <v>34</v>
      </c>
      <c r="O18" s="12" t="s">
        <v>189</v>
      </c>
      <c r="P18" s="12" t="s">
        <v>376</v>
      </c>
      <c r="Q18" s="12">
        <v>3600</v>
      </c>
      <c r="R18" s="12">
        <v>7380</v>
      </c>
      <c r="S18" s="12">
        <v>11340</v>
      </c>
      <c r="T18" s="12">
        <v>22320</v>
      </c>
      <c r="U18" s="47">
        <v>10411456.625915317</v>
      </c>
      <c r="V18" s="48">
        <v>1318952</v>
      </c>
      <c r="W18" s="49">
        <v>11730408.625915317</v>
      </c>
      <c r="X18" s="49">
        <v>137733</v>
      </c>
      <c r="Y18" s="77">
        <v>275466</v>
      </c>
      <c r="Z18" s="174">
        <v>0</v>
      </c>
      <c r="AA18" s="184"/>
      <c r="AB18" s="184">
        <v>0</v>
      </c>
      <c r="AC18" s="184">
        <v>137733</v>
      </c>
      <c r="AD18" s="245">
        <v>275466</v>
      </c>
      <c r="AE18" s="245">
        <v>137733</v>
      </c>
    </row>
    <row r="19" spans="1:32" s="78" customFormat="1" ht="243.6" customHeight="1" thickBot="1" x14ac:dyDescent="0.25">
      <c r="A19" s="41">
        <v>18</v>
      </c>
      <c r="B19" s="12" t="s">
        <v>351</v>
      </c>
      <c r="C19" s="12" t="s">
        <v>352</v>
      </c>
      <c r="D19" s="12" t="s">
        <v>397</v>
      </c>
      <c r="E19" s="12" t="s">
        <v>1241</v>
      </c>
      <c r="F19" s="12" t="s">
        <v>354</v>
      </c>
      <c r="G19" s="4" t="s">
        <v>368</v>
      </c>
      <c r="H19" s="16" t="s">
        <v>353</v>
      </c>
      <c r="I19" s="12" t="s">
        <v>992</v>
      </c>
      <c r="J19" s="12" t="s">
        <v>355</v>
      </c>
      <c r="K19" s="4" t="s">
        <v>10</v>
      </c>
      <c r="L19" s="575" t="s">
        <v>34</v>
      </c>
      <c r="M19" s="575" t="s">
        <v>375</v>
      </c>
      <c r="N19" s="13" t="s">
        <v>34</v>
      </c>
      <c r="O19" s="12" t="s">
        <v>189</v>
      </c>
      <c r="P19" s="12"/>
      <c r="Q19" s="52">
        <v>0</v>
      </c>
      <c r="R19" s="12">
        <v>250</v>
      </c>
      <c r="S19" s="12">
        <v>750</v>
      </c>
      <c r="T19" s="12">
        <v>1000</v>
      </c>
      <c r="U19" s="47">
        <v>2826667</v>
      </c>
      <c r="V19" s="48">
        <v>448743</v>
      </c>
      <c r="W19" s="49">
        <v>3275410</v>
      </c>
      <c r="X19" s="49">
        <v>40419</v>
      </c>
      <c r="Y19" s="77">
        <v>80838</v>
      </c>
      <c r="Z19" s="235">
        <v>42419</v>
      </c>
      <c r="AA19" s="184"/>
      <c r="AB19" s="184">
        <v>42419</v>
      </c>
      <c r="AC19" s="184">
        <v>40419</v>
      </c>
      <c r="AD19" s="181">
        <v>80838</v>
      </c>
      <c r="AE19" s="181">
        <v>82838</v>
      </c>
    </row>
    <row r="20" spans="1:32" s="78" customFormat="1" ht="409.6" thickBot="1" x14ac:dyDescent="0.25">
      <c r="A20" s="41">
        <v>19</v>
      </c>
      <c r="B20" s="16" t="s">
        <v>55</v>
      </c>
      <c r="C20" s="16" t="s">
        <v>414</v>
      </c>
      <c r="D20" s="16" t="s">
        <v>1023</v>
      </c>
      <c r="E20" s="16" t="s">
        <v>1238</v>
      </c>
      <c r="F20" s="16" t="s">
        <v>407</v>
      </c>
      <c r="G20" s="4" t="s">
        <v>506</v>
      </c>
      <c r="H20" s="164" t="s">
        <v>1073</v>
      </c>
      <c r="I20" s="16" t="s">
        <v>1012</v>
      </c>
      <c r="J20" s="12" t="s">
        <v>416</v>
      </c>
      <c r="K20" s="16" t="s">
        <v>63</v>
      </c>
      <c r="L20" s="45" t="s">
        <v>507</v>
      </c>
      <c r="M20" s="46" t="s">
        <v>508</v>
      </c>
      <c r="N20" s="51" t="s">
        <v>509</v>
      </c>
      <c r="O20" s="12" t="s">
        <v>189</v>
      </c>
      <c r="P20" s="12" t="s">
        <v>510</v>
      </c>
      <c r="Q20" s="16">
        <v>300</v>
      </c>
      <c r="R20" s="21">
        <v>620</v>
      </c>
      <c r="S20" s="26">
        <v>1080</v>
      </c>
      <c r="T20" s="59">
        <f t="shared" ref="T20" si="7">SUM(Q20:S20)</f>
        <v>2000</v>
      </c>
      <c r="U20" s="60">
        <v>2498708.8019121243</v>
      </c>
      <c r="V20" s="61">
        <v>605067</v>
      </c>
      <c r="W20" s="62">
        <f t="shared" ref="W20" si="8">SUM(U20:V20)</f>
        <v>3103775.8019121243</v>
      </c>
      <c r="X20" s="158" t="s">
        <v>1108</v>
      </c>
      <c r="Y20" s="158" t="s">
        <v>1042</v>
      </c>
      <c r="Z20" s="234">
        <v>0</v>
      </c>
      <c r="AA20" s="182"/>
      <c r="AB20" s="182">
        <v>0</v>
      </c>
      <c r="AC20" s="183">
        <v>33182</v>
      </c>
      <c r="AD20" s="248">
        <f>66364*2</f>
        <v>132728</v>
      </c>
      <c r="AE20" s="245">
        <f t="shared" ref="AE20" si="9">AB20+AC20</f>
        <v>33182</v>
      </c>
    </row>
    <row r="21" spans="1:32" s="78" customFormat="1" ht="60" customHeight="1" thickBot="1" x14ac:dyDescent="0.25">
      <c r="A21" s="42">
        <v>20</v>
      </c>
      <c r="B21" s="2" t="s">
        <v>444</v>
      </c>
      <c r="C21" s="2" t="s">
        <v>446</v>
      </c>
      <c r="D21" s="2" t="s">
        <v>397</v>
      </c>
      <c r="E21" s="2" t="s">
        <v>1240</v>
      </c>
      <c r="F21" s="2" t="s">
        <v>407</v>
      </c>
      <c r="G21" s="4" t="s">
        <v>532</v>
      </c>
      <c r="H21" s="2" t="s">
        <v>447</v>
      </c>
      <c r="I21" s="2" t="s">
        <v>1003</v>
      </c>
      <c r="J21" s="16" t="s">
        <v>448</v>
      </c>
      <c r="K21" s="16" t="s">
        <v>10</v>
      </c>
      <c r="L21" s="44" t="s">
        <v>34</v>
      </c>
      <c r="M21" s="44" t="s">
        <v>34</v>
      </c>
      <c r="N21" s="44" t="s">
        <v>34</v>
      </c>
      <c r="O21" s="3" t="s">
        <v>189</v>
      </c>
      <c r="P21" s="3" t="s">
        <v>533</v>
      </c>
      <c r="Q21" s="2">
        <v>5500</v>
      </c>
      <c r="R21" s="3">
        <v>8500</v>
      </c>
      <c r="S21" s="44">
        <v>16500</v>
      </c>
      <c r="T21" s="59">
        <v>30500</v>
      </c>
      <c r="U21" s="60">
        <v>3216809</v>
      </c>
      <c r="V21" s="61">
        <v>1506950</v>
      </c>
      <c r="W21" s="62">
        <v>4723759</v>
      </c>
      <c r="X21" s="127">
        <v>123400</v>
      </c>
      <c r="Y21" s="77">
        <v>246800</v>
      </c>
      <c r="Z21" s="174">
        <v>0</v>
      </c>
      <c r="AA21" s="184"/>
      <c r="AB21" s="184">
        <v>0</v>
      </c>
      <c r="AC21" s="184">
        <v>123400</v>
      </c>
      <c r="AD21" s="245">
        <v>246800</v>
      </c>
      <c r="AE21" s="245">
        <v>123400</v>
      </c>
    </row>
    <row r="22" spans="1:32" s="78" customFormat="1" ht="107.1" customHeight="1" thickBot="1" x14ac:dyDescent="0.25">
      <c r="A22" s="41">
        <v>21</v>
      </c>
      <c r="B22" s="16" t="s">
        <v>351</v>
      </c>
      <c r="C22" s="16" t="s">
        <v>449</v>
      </c>
      <c r="D22" s="16" t="s">
        <v>397</v>
      </c>
      <c r="E22" s="16" t="s">
        <v>1239</v>
      </c>
      <c r="F22" s="16" t="s">
        <v>1025</v>
      </c>
      <c r="G22" s="4" t="s">
        <v>534</v>
      </c>
      <c r="H22" s="16" t="s">
        <v>450</v>
      </c>
      <c r="I22" s="16" t="s">
        <v>992</v>
      </c>
      <c r="J22" s="16" t="s">
        <v>451</v>
      </c>
      <c r="K22" s="16" t="s">
        <v>10</v>
      </c>
      <c r="L22" s="44" t="s">
        <v>34</v>
      </c>
      <c r="M22" s="44" t="s">
        <v>34</v>
      </c>
      <c r="N22" s="44" t="s">
        <v>34</v>
      </c>
      <c r="O22" s="12" t="s">
        <v>189</v>
      </c>
      <c r="P22" s="12" t="s">
        <v>535</v>
      </c>
      <c r="Q22" s="63">
        <v>0</v>
      </c>
      <c r="R22" s="52">
        <v>1484</v>
      </c>
      <c r="S22" s="64">
        <v>5196</v>
      </c>
      <c r="T22" s="59">
        <v>6680</v>
      </c>
      <c r="U22" s="60">
        <v>3602978.5859376453</v>
      </c>
      <c r="V22" s="61">
        <v>1023381</v>
      </c>
      <c r="W22" s="62">
        <v>4626359.5859376453</v>
      </c>
      <c r="X22" s="77">
        <v>86228</v>
      </c>
      <c r="Y22" s="77">
        <v>172456</v>
      </c>
      <c r="Z22" s="235">
        <v>90495</v>
      </c>
      <c r="AA22" s="184"/>
      <c r="AB22" s="184">
        <v>90495</v>
      </c>
      <c r="AC22" s="184">
        <v>86228</v>
      </c>
      <c r="AD22" s="181">
        <v>172456</v>
      </c>
      <c r="AE22" s="181">
        <v>176723</v>
      </c>
    </row>
    <row r="23" spans="1:32" s="78" customFormat="1" ht="230.1" customHeight="1" thickBot="1" x14ac:dyDescent="0.25">
      <c r="A23" s="41">
        <v>22</v>
      </c>
      <c r="B23" s="16" t="s">
        <v>351</v>
      </c>
      <c r="C23" s="16" t="s">
        <v>455</v>
      </c>
      <c r="D23" s="16" t="s">
        <v>1023</v>
      </c>
      <c r="E23" s="16" t="s">
        <v>1237</v>
      </c>
      <c r="F23" s="16" t="s">
        <v>75</v>
      </c>
      <c r="G23" s="4" t="s">
        <v>538</v>
      </c>
      <c r="H23" s="16" t="s">
        <v>456</v>
      </c>
      <c r="I23" s="16" t="s">
        <v>992</v>
      </c>
      <c r="J23" s="16" t="s">
        <v>457</v>
      </c>
      <c r="K23" s="16" t="s">
        <v>10</v>
      </c>
      <c r="L23" s="575" t="s">
        <v>34</v>
      </c>
      <c r="M23" s="575" t="s">
        <v>34</v>
      </c>
      <c r="N23" s="575" t="s">
        <v>34</v>
      </c>
      <c r="O23" s="12" t="s">
        <v>189</v>
      </c>
      <c r="P23" s="12" t="s">
        <v>490</v>
      </c>
      <c r="Q23" s="63">
        <v>0</v>
      </c>
      <c r="R23" s="52">
        <v>677</v>
      </c>
      <c r="S23" s="64">
        <v>1760</v>
      </c>
      <c r="T23" s="59">
        <v>2437</v>
      </c>
      <c r="U23" s="60">
        <v>6459976</v>
      </c>
      <c r="V23" s="61">
        <v>1151798</v>
      </c>
      <c r="W23" s="62">
        <v>7611774</v>
      </c>
      <c r="X23" s="127">
        <v>87575</v>
      </c>
      <c r="Y23" s="77">
        <v>175150</v>
      </c>
      <c r="Z23" s="174">
        <v>91909</v>
      </c>
      <c r="AA23" s="184"/>
      <c r="AB23" s="184">
        <v>91909</v>
      </c>
      <c r="AC23" s="184">
        <v>87575</v>
      </c>
      <c r="AD23" s="181">
        <v>175150</v>
      </c>
      <c r="AE23" s="181">
        <v>179484</v>
      </c>
    </row>
    <row r="24" spans="1:32" s="78" customFormat="1" ht="122.45" customHeight="1" thickBot="1" x14ac:dyDescent="0.25">
      <c r="A24" s="42">
        <v>23</v>
      </c>
      <c r="B24" s="2" t="s">
        <v>458</v>
      </c>
      <c r="C24" s="2" t="s">
        <v>459</v>
      </c>
      <c r="D24" s="2" t="s">
        <v>759</v>
      </c>
      <c r="E24" s="2" t="s">
        <v>1228</v>
      </c>
      <c r="F24" s="2" t="s">
        <v>862</v>
      </c>
      <c r="G24" s="4" t="s">
        <v>539</v>
      </c>
      <c r="H24" s="58" t="s">
        <v>1075</v>
      </c>
      <c r="I24" s="2" t="s">
        <v>1002</v>
      </c>
      <c r="J24" s="2" t="s">
        <v>460</v>
      </c>
      <c r="K24" s="2" t="s">
        <v>63</v>
      </c>
      <c r="L24" s="575" t="s">
        <v>1057</v>
      </c>
      <c r="M24" s="575" t="s">
        <v>1057</v>
      </c>
      <c r="N24" s="575" t="s">
        <v>1057</v>
      </c>
      <c r="O24" s="3" t="s">
        <v>111</v>
      </c>
      <c r="P24" s="3" t="s">
        <v>540</v>
      </c>
      <c r="Q24" s="2">
        <f>0</f>
        <v>0</v>
      </c>
      <c r="R24" s="3">
        <v>2000</v>
      </c>
      <c r="S24" s="44">
        <v>5000</v>
      </c>
      <c r="T24" s="59">
        <f t="shared" ref="T24:T25" si="10">SUM(Q24:S24)</f>
        <v>7000</v>
      </c>
      <c r="U24" s="60">
        <v>4277533</v>
      </c>
      <c r="V24" s="61">
        <v>740313</v>
      </c>
      <c r="W24" s="62">
        <f t="shared" ref="W24:W25" si="11">SUM(U24:V24)</f>
        <v>5017846</v>
      </c>
      <c r="X24" s="158" t="s">
        <v>1100</v>
      </c>
      <c r="Y24" s="158" t="s">
        <v>1043</v>
      </c>
      <c r="Z24" s="188">
        <v>0</v>
      </c>
      <c r="AA24" s="182"/>
      <c r="AB24" s="182">
        <v>0</v>
      </c>
      <c r="AC24" s="183">
        <v>35736</v>
      </c>
      <c r="AD24" s="244">
        <f>71473+23824</f>
        <v>95297</v>
      </c>
      <c r="AE24" s="245">
        <f t="shared" ref="AE24:AE26" si="12">AB24+AC24</f>
        <v>35736</v>
      </c>
    </row>
    <row r="25" spans="1:32" s="78" customFormat="1" ht="92.1" customHeight="1" thickBot="1" x14ac:dyDescent="0.25">
      <c r="A25" s="42">
        <v>24</v>
      </c>
      <c r="B25" s="2" t="s">
        <v>321</v>
      </c>
      <c r="C25" s="2" t="s">
        <v>486</v>
      </c>
      <c r="D25" s="2" t="s">
        <v>1023</v>
      </c>
      <c r="E25" s="2" t="s">
        <v>1238</v>
      </c>
      <c r="F25" s="2" t="s">
        <v>415</v>
      </c>
      <c r="G25" s="4" t="s">
        <v>561</v>
      </c>
      <c r="H25" s="2" t="s">
        <v>487</v>
      </c>
      <c r="I25" s="2" t="s">
        <v>992</v>
      </c>
      <c r="J25" s="2" t="s">
        <v>488</v>
      </c>
      <c r="K25" s="2" t="s">
        <v>10</v>
      </c>
      <c r="L25" s="575" t="s">
        <v>34</v>
      </c>
      <c r="M25" s="575" t="s">
        <v>34</v>
      </c>
      <c r="N25" s="575" t="s">
        <v>34</v>
      </c>
      <c r="O25" s="3" t="s">
        <v>189</v>
      </c>
      <c r="P25" s="3" t="s">
        <v>525</v>
      </c>
      <c r="Q25" s="67">
        <v>50</v>
      </c>
      <c r="R25" s="33">
        <v>125</v>
      </c>
      <c r="S25" s="68">
        <v>200</v>
      </c>
      <c r="T25" s="59">
        <f t="shared" si="10"/>
        <v>375</v>
      </c>
      <c r="U25" s="60">
        <v>475276</v>
      </c>
      <c r="V25" s="61">
        <v>315992</v>
      </c>
      <c r="W25" s="62">
        <f t="shared" si="11"/>
        <v>791268</v>
      </c>
      <c r="X25" s="127">
        <v>16370.07</v>
      </c>
      <c r="Y25" s="77">
        <v>49110.07</v>
      </c>
      <c r="Z25" s="174">
        <v>0</v>
      </c>
      <c r="AA25" s="184"/>
      <c r="AB25" s="184">
        <v>0</v>
      </c>
      <c r="AC25" s="184">
        <v>16370.07</v>
      </c>
      <c r="AD25" s="245">
        <v>49110.07</v>
      </c>
      <c r="AE25" s="245">
        <f t="shared" si="12"/>
        <v>16370.07</v>
      </c>
    </row>
    <row r="26" spans="1:32" s="78" customFormat="1" ht="409.6" thickBot="1" x14ac:dyDescent="0.25">
      <c r="A26" s="41">
        <v>25</v>
      </c>
      <c r="B26" s="2" t="s">
        <v>14</v>
      </c>
      <c r="C26" s="12" t="s">
        <v>580</v>
      </c>
      <c r="D26" s="12" t="s">
        <v>574</v>
      </c>
      <c r="E26" s="12" t="s">
        <v>1249</v>
      </c>
      <c r="F26" s="3" t="s">
        <v>575</v>
      </c>
      <c r="G26" s="12" t="s">
        <v>672</v>
      </c>
      <c r="H26" s="2" t="s">
        <v>581</v>
      </c>
      <c r="I26" s="3" t="s">
        <v>1003</v>
      </c>
      <c r="J26" s="3" t="s">
        <v>582</v>
      </c>
      <c r="K26" s="3" t="s">
        <v>10</v>
      </c>
      <c r="L26" s="44" t="s">
        <v>34</v>
      </c>
      <c r="M26" s="44" t="s">
        <v>34</v>
      </c>
      <c r="N26" s="3" t="s">
        <v>34</v>
      </c>
      <c r="O26" s="12" t="s">
        <v>111</v>
      </c>
      <c r="P26" s="12" t="s">
        <v>41</v>
      </c>
      <c r="Q26" s="71">
        <v>0</v>
      </c>
      <c r="R26" s="71">
        <v>11900</v>
      </c>
      <c r="S26" s="71">
        <v>24300</v>
      </c>
      <c r="T26" s="71">
        <f t="shared" ref="T26:T48" si="13">SUM(Q26:S26)</f>
        <v>36200</v>
      </c>
      <c r="U26" s="72">
        <v>16550739</v>
      </c>
      <c r="V26" s="62">
        <v>4138439</v>
      </c>
      <c r="W26" s="73">
        <f t="shared" ref="W26:W46" si="14">SUM(U26:V26)</f>
        <v>20689178</v>
      </c>
      <c r="X26" s="127">
        <v>283277</v>
      </c>
      <c r="Y26" s="77">
        <v>566554</v>
      </c>
      <c r="Z26" s="174">
        <v>283277</v>
      </c>
      <c r="AA26" s="184"/>
      <c r="AB26" s="184">
        <v>283277</v>
      </c>
      <c r="AC26" s="184">
        <v>283277</v>
      </c>
      <c r="AD26" s="181">
        <v>566554</v>
      </c>
      <c r="AE26" s="181">
        <f t="shared" si="12"/>
        <v>566554</v>
      </c>
    </row>
    <row r="27" spans="1:32" s="78" customFormat="1" ht="409.6" thickBot="1" x14ac:dyDescent="0.25">
      <c r="A27" s="41">
        <v>26</v>
      </c>
      <c r="B27" s="2" t="s">
        <v>401</v>
      </c>
      <c r="C27" s="12" t="s">
        <v>588</v>
      </c>
      <c r="D27" s="12" t="s">
        <v>574</v>
      </c>
      <c r="E27" s="12" t="s">
        <v>1250</v>
      </c>
      <c r="F27" s="3" t="s">
        <v>1026</v>
      </c>
      <c r="G27" s="12" t="s">
        <v>676</v>
      </c>
      <c r="H27" s="58" t="s">
        <v>1079</v>
      </c>
      <c r="I27" s="3" t="s">
        <v>1014</v>
      </c>
      <c r="J27" s="3" t="s">
        <v>1195</v>
      </c>
      <c r="K27" s="3" t="s">
        <v>63</v>
      </c>
      <c r="L27" s="44" t="s">
        <v>1057</v>
      </c>
      <c r="M27" s="44" t="s">
        <v>1057</v>
      </c>
      <c r="N27" s="3" t="s">
        <v>1057</v>
      </c>
      <c r="O27" s="12" t="s">
        <v>111</v>
      </c>
      <c r="P27" s="12" t="s">
        <v>677</v>
      </c>
      <c r="Q27" s="74">
        <v>4415</v>
      </c>
      <c r="R27" s="75">
        <v>9050</v>
      </c>
      <c r="S27" s="76">
        <v>13918</v>
      </c>
      <c r="T27" s="71">
        <f t="shared" si="13"/>
        <v>27383</v>
      </c>
      <c r="U27" s="72">
        <v>10478249.869999999</v>
      </c>
      <c r="V27" s="62">
        <v>1327411</v>
      </c>
      <c r="W27" s="73">
        <f t="shared" si="14"/>
        <v>11805660.869999999</v>
      </c>
      <c r="X27" s="166" t="s">
        <v>1099</v>
      </c>
      <c r="Y27" s="158" t="s">
        <v>1044</v>
      </c>
      <c r="Z27" s="188" t="s">
        <v>1215</v>
      </c>
      <c r="AA27" s="182"/>
      <c r="AB27" s="182" t="s">
        <v>1219</v>
      </c>
      <c r="AC27" s="183">
        <v>138617</v>
      </c>
      <c r="AD27" s="179">
        <f>69308+207925</f>
        <v>277233</v>
      </c>
      <c r="AE27" s="181">
        <f>(69308*2)+138617</f>
        <v>277233</v>
      </c>
    </row>
    <row r="28" spans="1:32" s="78" customFormat="1" ht="60.95" customHeight="1" thickBot="1" x14ac:dyDescent="0.25">
      <c r="A28" s="41">
        <v>27</v>
      </c>
      <c r="B28" s="2" t="s">
        <v>261</v>
      </c>
      <c r="C28" s="12" t="s">
        <v>612</v>
      </c>
      <c r="D28" s="12" t="s">
        <v>574</v>
      </c>
      <c r="E28" s="12" t="s">
        <v>1251</v>
      </c>
      <c r="F28" s="3" t="s">
        <v>575</v>
      </c>
      <c r="G28" s="12" t="s">
        <v>703</v>
      </c>
      <c r="H28" s="2" t="s">
        <v>613</v>
      </c>
      <c r="I28" s="12" t="s">
        <v>995</v>
      </c>
      <c r="J28" s="3" t="s">
        <v>614</v>
      </c>
      <c r="K28" s="3" t="s">
        <v>10</v>
      </c>
      <c r="L28" s="44" t="s">
        <v>34</v>
      </c>
      <c r="M28" s="44" t="s">
        <v>34</v>
      </c>
      <c r="N28" s="3" t="s">
        <v>34</v>
      </c>
      <c r="O28" s="12" t="s">
        <v>111</v>
      </c>
      <c r="P28" s="12" t="s">
        <v>704</v>
      </c>
      <c r="Q28" s="70">
        <v>0</v>
      </c>
      <c r="R28" s="70">
        <v>2440</v>
      </c>
      <c r="S28" s="71">
        <v>6100</v>
      </c>
      <c r="T28" s="71">
        <f t="shared" si="13"/>
        <v>8540</v>
      </c>
      <c r="U28" s="72">
        <v>2331339.09</v>
      </c>
      <c r="V28" s="62">
        <v>1043199</v>
      </c>
      <c r="W28" s="73">
        <f t="shared" si="14"/>
        <v>3374538.09</v>
      </c>
      <c r="X28" s="127">
        <v>86228</v>
      </c>
      <c r="Y28" s="77">
        <v>172456</v>
      </c>
      <c r="Z28" s="174">
        <v>90495</v>
      </c>
      <c r="AA28" s="184"/>
      <c r="AB28" s="184">
        <v>90495</v>
      </c>
      <c r="AC28" s="184">
        <v>86228</v>
      </c>
      <c r="AD28" s="181">
        <v>172456</v>
      </c>
      <c r="AE28" s="181">
        <f t="shared" ref="AE28:AE33" si="15">AB28+AC28</f>
        <v>176723</v>
      </c>
    </row>
    <row r="29" spans="1:32" s="78" customFormat="1" ht="150.6" customHeight="1" thickBot="1" x14ac:dyDescent="0.25">
      <c r="A29" s="41">
        <v>28</v>
      </c>
      <c r="B29" s="2" t="s">
        <v>615</v>
      </c>
      <c r="C29" s="12" t="s">
        <v>616</v>
      </c>
      <c r="D29" s="12" t="s">
        <v>574</v>
      </c>
      <c r="E29" s="12" t="s">
        <v>1249</v>
      </c>
      <c r="F29" s="3" t="s">
        <v>575</v>
      </c>
      <c r="G29" s="12" t="s">
        <v>705</v>
      </c>
      <c r="H29" s="58" t="s">
        <v>1085</v>
      </c>
      <c r="I29" s="3" t="s">
        <v>1014</v>
      </c>
      <c r="J29" s="3" t="s">
        <v>1188</v>
      </c>
      <c r="K29" s="3" t="s">
        <v>63</v>
      </c>
      <c r="L29" s="44" t="s">
        <v>34</v>
      </c>
      <c r="M29" s="44" t="s">
        <v>34</v>
      </c>
      <c r="N29" s="3" t="s">
        <v>34</v>
      </c>
      <c r="O29" s="12" t="s">
        <v>111</v>
      </c>
      <c r="P29" s="12" t="s">
        <v>706</v>
      </c>
      <c r="Q29" s="70">
        <v>500</v>
      </c>
      <c r="R29" s="70">
        <v>1750</v>
      </c>
      <c r="S29" s="70">
        <v>3250</v>
      </c>
      <c r="T29" s="71">
        <f t="shared" si="13"/>
        <v>5500</v>
      </c>
      <c r="U29" s="72">
        <v>2192047</v>
      </c>
      <c r="V29" s="62">
        <v>678156</v>
      </c>
      <c r="W29" s="73">
        <f t="shared" si="14"/>
        <v>2870203</v>
      </c>
      <c r="X29" s="158" t="s">
        <v>1100</v>
      </c>
      <c r="Y29" s="158" t="s">
        <v>1045</v>
      </c>
      <c r="Z29" s="188">
        <v>0</v>
      </c>
      <c r="AA29" s="182"/>
      <c r="AB29" s="182">
        <v>0</v>
      </c>
      <c r="AC29" s="183">
        <v>35736</v>
      </c>
      <c r="AD29" s="244">
        <f>71472+23824</f>
        <v>95296</v>
      </c>
      <c r="AE29" s="245">
        <f t="shared" si="15"/>
        <v>35736</v>
      </c>
    </row>
    <row r="30" spans="1:32" s="78" customFormat="1" ht="329.45" customHeight="1" thickBot="1" x14ac:dyDescent="0.25">
      <c r="A30" s="41">
        <v>29</v>
      </c>
      <c r="B30" s="2" t="s">
        <v>617</v>
      </c>
      <c r="C30" s="12" t="s">
        <v>618</v>
      </c>
      <c r="D30" s="12" t="s">
        <v>574</v>
      </c>
      <c r="E30" s="12" t="s">
        <v>1249</v>
      </c>
      <c r="F30" s="3" t="s">
        <v>575</v>
      </c>
      <c r="G30" s="12" t="s">
        <v>707</v>
      </c>
      <c r="H30" s="2" t="s">
        <v>619</v>
      </c>
      <c r="I30" s="12" t="s">
        <v>994</v>
      </c>
      <c r="J30" s="3" t="s">
        <v>620</v>
      </c>
      <c r="K30" s="3" t="s">
        <v>209</v>
      </c>
      <c r="L30" s="44" t="s">
        <v>34</v>
      </c>
      <c r="M30" s="44" t="s">
        <v>34</v>
      </c>
      <c r="N30" s="3" t="s">
        <v>34</v>
      </c>
      <c r="O30" s="12" t="s">
        <v>111</v>
      </c>
      <c r="P30" s="12" t="s">
        <v>708</v>
      </c>
      <c r="Q30" s="70">
        <v>650</v>
      </c>
      <c r="R30" s="70">
        <v>1950</v>
      </c>
      <c r="S30" s="71">
        <v>3289</v>
      </c>
      <c r="T30" s="71">
        <f t="shared" si="13"/>
        <v>5889</v>
      </c>
      <c r="U30" s="72">
        <v>897183</v>
      </c>
      <c r="V30" s="62">
        <v>3241591</v>
      </c>
      <c r="W30" s="73">
        <f t="shared" si="14"/>
        <v>4138774</v>
      </c>
      <c r="X30" s="166" t="s">
        <v>1101</v>
      </c>
      <c r="Y30" s="158" t="s">
        <v>1046</v>
      </c>
      <c r="Z30" s="188">
        <v>0</v>
      </c>
      <c r="AA30" s="182"/>
      <c r="AB30" s="182">
        <v>0</v>
      </c>
      <c r="AC30" s="182">
        <f>124015*3</f>
        <v>372045</v>
      </c>
      <c r="AD30" s="244">
        <f>248030*3</f>
        <v>744090</v>
      </c>
      <c r="AE30" s="245">
        <f t="shared" si="15"/>
        <v>372045</v>
      </c>
    </row>
    <row r="31" spans="1:32" s="78" customFormat="1" ht="137.1" customHeight="1" thickBot="1" x14ac:dyDescent="0.25">
      <c r="A31" s="41">
        <v>30</v>
      </c>
      <c r="B31" s="2" t="s">
        <v>283</v>
      </c>
      <c r="C31" s="12" t="s">
        <v>645</v>
      </c>
      <c r="D31" s="12" t="s">
        <v>574</v>
      </c>
      <c r="E31" s="12" t="s">
        <v>1249</v>
      </c>
      <c r="F31" s="3" t="s">
        <v>575</v>
      </c>
      <c r="G31" s="12" t="s">
        <v>732</v>
      </c>
      <c r="H31" s="2" t="s">
        <v>646</v>
      </c>
      <c r="I31" s="3" t="s">
        <v>1003</v>
      </c>
      <c r="J31" s="3" t="s">
        <v>582</v>
      </c>
      <c r="K31" s="3" t="s">
        <v>10</v>
      </c>
      <c r="L31" s="44" t="s">
        <v>34</v>
      </c>
      <c r="M31" s="44" t="s">
        <v>34</v>
      </c>
      <c r="N31" s="3" t="s">
        <v>34</v>
      </c>
      <c r="O31" s="12" t="s">
        <v>111</v>
      </c>
      <c r="P31" s="12" t="s">
        <v>41</v>
      </c>
      <c r="Q31" s="70">
        <v>0</v>
      </c>
      <c r="R31" s="70">
        <v>246000</v>
      </c>
      <c r="S31" s="76">
        <v>504000</v>
      </c>
      <c r="T31" s="71">
        <f t="shared" si="13"/>
        <v>750000</v>
      </c>
      <c r="U31" s="72">
        <v>16253190</v>
      </c>
      <c r="V31" s="62">
        <v>4203442</v>
      </c>
      <c r="W31" s="73">
        <f t="shared" si="14"/>
        <v>20456632</v>
      </c>
      <c r="X31" s="127">
        <v>287727</v>
      </c>
      <c r="Y31" s="77">
        <v>575454</v>
      </c>
      <c r="Z31" s="174">
        <v>287727</v>
      </c>
      <c r="AA31" s="184"/>
      <c r="AB31" s="184">
        <v>287727</v>
      </c>
      <c r="AC31" s="184">
        <v>287727</v>
      </c>
      <c r="AD31" s="181">
        <v>575454</v>
      </c>
      <c r="AE31" s="181">
        <f t="shared" si="15"/>
        <v>575454</v>
      </c>
    </row>
    <row r="32" spans="1:32" s="78" customFormat="1" ht="135.94999999999999" customHeight="1" thickBot="1" x14ac:dyDescent="0.25">
      <c r="A32" s="41">
        <v>31</v>
      </c>
      <c r="B32" s="2" t="s">
        <v>301</v>
      </c>
      <c r="C32" s="12" t="s">
        <v>650</v>
      </c>
      <c r="D32" s="12" t="s">
        <v>397</v>
      </c>
      <c r="E32" s="12" t="s">
        <v>1240</v>
      </c>
      <c r="F32" s="3" t="s">
        <v>1020</v>
      </c>
      <c r="G32" s="12" t="s">
        <v>735</v>
      </c>
      <c r="H32" s="2" t="s">
        <v>651</v>
      </c>
      <c r="I32" s="3" t="s">
        <v>1015</v>
      </c>
      <c r="J32" s="3" t="s">
        <v>1194</v>
      </c>
      <c r="K32" s="3" t="s">
        <v>10</v>
      </c>
      <c r="L32" s="44" t="s">
        <v>34</v>
      </c>
      <c r="M32" s="44" t="s">
        <v>34</v>
      </c>
      <c r="N32" s="3" t="s">
        <v>34</v>
      </c>
      <c r="O32" s="12" t="s">
        <v>189</v>
      </c>
      <c r="P32" s="12" t="s">
        <v>736</v>
      </c>
      <c r="Q32" s="74">
        <v>123</v>
      </c>
      <c r="R32" s="74">
        <v>173</v>
      </c>
      <c r="S32" s="74">
        <v>223</v>
      </c>
      <c r="T32" s="71">
        <f t="shared" si="13"/>
        <v>519</v>
      </c>
      <c r="U32" s="72">
        <v>6131493</v>
      </c>
      <c r="V32" s="62">
        <v>1523170</v>
      </c>
      <c r="W32" s="73">
        <f t="shared" si="14"/>
        <v>7654663</v>
      </c>
      <c r="X32" s="127">
        <v>34274.33</v>
      </c>
      <c r="Y32" s="77">
        <v>137097.33000000002</v>
      </c>
      <c r="Z32" s="235">
        <v>102823</v>
      </c>
      <c r="AA32" s="184"/>
      <c r="AB32" s="184">
        <v>102823</v>
      </c>
      <c r="AC32" s="184">
        <v>34274.33</v>
      </c>
      <c r="AD32" s="181">
        <v>137097.33000000002</v>
      </c>
      <c r="AE32" s="181">
        <f t="shared" si="15"/>
        <v>137097.33000000002</v>
      </c>
    </row>
    <row r="33" spans="1:31" s="78" customFormat="1" ht="105" customHeight="1" thickBot="1" x14ac:dyDescent="0.25">
      <c r="A33" s="42">
        <v>32</v>
      </c>
      <c r="B33" s="16" t="s">
        <v>351</v>
      </c>
      <c r="C33" s="16" t="s">
        <v>767</v>
      </c>
      <c r="D33" s="16" t="s">
        <v>759</v>
      </c>
      <c r="E33" s="16" t="s">
        <v>1228</v>
      </c>
      <c r="F33" s="16" t="s">
        <v>760</v>
      </c>
      <c r="G33" s="12" t="s">
        <v>823</v>
      </c>
      <c r="H33" s="16" t="s">
        <v>768</v>
      </c>
      <c r="I33" s="16" t="s">
        <v>992</v>
      </c>
      <c r="J33" s="16" t="s">
        <v>769</v>
      </c>
      <c r="K33" s="16" t="s">
        <v>10</v>
      </c>
      <c r="L33" s="3" t="s">
        <v>34</v>
      </c>
      <c r="M33" s="3" t="s">
        <v>281</v>
      </c>
      <c r="N33" s="3" t="s">
        <v>34</v>
      </c>
      <c r="O33" s="16" t="s">
        <v>111</v>
      </c>
      <c r="P33" s="16" t="s">
        <v>819</v>
      </c>
      <c r="Q33" s="16">
        <v>0</v>
      </c>
      <c r="R33" s="16">
        <v>800</v>
      </c>
      <c r="S33" s="21">
        <v>2400</v>
      </c>
      <c r="T33" s="16">
        <f t="shared" si="13"/>
        <v>3200</v>
      </c>
      <c r="U33" s="118">
        <v>2119397.17</v>
      </c>
      <c r="V33" s="62">
        <v>1049805</v>
      </c>
      <c r="W33" s="62">
        <f t="shared" si="14"/>
        <v>3169202.17</v>
      </c>
      <c r="X33" s="77">
        <v>86228</v>
      </c>
      <c r="Y33" s="77">
        <v>172456</v>
      </c>
      <c r="Z33" s="174">
        <v>90495</v>
      </c>
      <c r="AA33" s="184"/>
      <c r="AB33" s="184">
        <v>90495</v>
      </c>
      <c r="AC33" s="184">
        <v>86228</v>
      </c>
      <c r="AD33" s="181">
        <v>172456</v>
      </c>
      <c r="AE33" s="181">
        <f t="shared" si="15"/>
        <v>176723</v>
      </c>
    </row>
    <row r="34" spans="1:31" s="78" customFormat="1" ht="105.6" customHeight="1" thickBot="1" x14ac:dyDescent="0.25">
      <c r="A34" s="42">
        <v>33</v>
      </c>
      <c r="B34" s="16" t="s">
        <v>301</v>
      </c>
      <c r="C34" s="16" t="s">
        <v>779</v>
      </c>
      <c r="D34" s="16" t="s">
        <v>759</v>
      </c>
      <c r="E34" s="16" t="s">
        <v>1228</v>
      </c>
      <c r="F34" s="16" t="s">
        <v>760</v>
      </c>
      <c r="G34" s="12" t="s">
        <v>833</v>
      </c>
      <c r="H34" s="16" t="s">
        <v>780</v>
      </c>
      <c r="I34" s="16" t="s">
        <v>1263</v>
      </c>
      <c r="J34" s="16" t="s">
        <v>781</v>
      </c>
      <c r="K34" s="16" t="s">
        <v>63</v>
      </c>
      <c r="L34" s="3" t="s">
        <v>834</v>
      </c>
      <c r="M34" s="3" t="s">
        <v>835</v>
      </c>
      <c r="N34" s="3" t="s">
        <v>836</v>
      </c>
      <c r="O34" s="16" t="s">
        <v>111</v>
      </c>
      <c r="P34" s="2" t="s">
        <v>819</v>
      </c>
      <c r="Q34" s="16">
        <v>500</v>
      </c>
      <c r="R34" s="16">
        <v>1502</v>
      </c>
      <c r="S34" s="16">
        <v>3004</v>
      </c>
      <c r="T34" s="16">
        <f t="shared" si="13"/>
        <v>5006</v>
      </c>
      <c r="U34" s="118">
        <v>8786001</v>
      </c>
      <c r="V34" s="62">
        <v>2149629</v>
      </c>
      <c r="W34" s="62">
        <f t="shared" si="14"/>
        <v>10935630</v>
      </c>
      <c r="X34" s="158" t="s">
        <v>1102</v>
      </c>
      <c r="Y34" s="158" t="s">
        <v>1048</v>
      </c>
      <c r="Z34" s="188">
        <v>72411</v>
      </c>
      <c r="AA34" s="182"/>
      <c r="AB34" s="182">
        <v>72411</v>
      </c>
      <c r="AC34" s="182">
        <f>48274+144822</f>
        <v>193096</v>
      </c>
      <c r="AD34" s="179">
        <f>120685+144822</f>
        <v>265507</v>
      </c>
      <c r="AE34" s="181">
        <f>AB34+AC34</f>
        <v>265507</v>
      </c>
    </row>
    <row r="35" spans="1:31" s="78" customFormat="1" ht="409.6" thickBot="1" x14ac:dyDescent="0.25">
      <c r="A35" s="42">
        <v>34</v>
      </c>
      <c r="B35" s="16" t="s">
        <v>301</v>
      </c>
      <c r="C35" s="16" t="s">
        <v>782</v>
      </c>
      <c r="D35" s="16" t="s">
        <v>759</v>
      </c>
      <c r="E35" s="16" t="s">
        <v>1228</v>
      </c>
      <c r="F35" s="16" t="s">
        <v>760</v>
      </c>
      <c r="G35" s="12" t="s">
        <v>837</v>
      </c>
      <c r="H35" s="16" t="s">
        <v>783</v>
      </c>
      <c r="I35" s="16" t="s">
        <v>1002</v>
      </c>
      <c r="J35" s="16" t="s">
        <v>784</v>
      </c>
      <c r="K35" s="16" t="s">
        <v>63</v>
      </c>
      <c r="L35" s="14" t="s">
        <v>838</v>
      </c>
      <c r="M35" s="6" t="s">
        <v>839</v>
      </c>
      <c r="N35" s="15" t="s">
        <v>840</v>
      </c>
      <c r="O35" s="16" t="s">
        <v>111</v>
      </c>
      <c r="P35" s="16" t="s">
        <v>819</v>
      </c>
      <c r="Q35" s="16">
        <v>59</v>
      </c>
      <c r="R35" s="16">
        <v>178</v>
      </c>
      <c r="S35" s="16">
        <v>356</v>
      </c>
      <c r="T35" s="16">
        <f t="shared" si="13"/>
        <v>593</v>
      </c>
      <c r="U35" s="118">
        <v>3406630</v>
      </c>
      <c r="V35" s="62">
        <v>837781</v>
      </c>
      <c r="W35" s="62">
        <f t="shared" si="14"/>
        <v>4244411</v>
      </c>
      <c r="X35" s="158" t="s">
        <v>1103</v>
      </c>
      <c r="Y35" s="158" t="s">
        <v>1049</v>
      </c>
      <c r="Z35" s="188" t="s">
        <v>1216</v>
      </c>
      <c r="AA35" s="182"/>
      <c r="AB35" s="183">
        <v>28240</v>
      </c>
      <c r="AC35" s="182">
        <f>56480+28240</f>
        <v>84720</v>
      </c>
      <c r="AD35" s="179">
        <f>56480*2</f>
        <v>112960</v>
      </c>
      <c r="AE35" s="186">
        <f>AB35+AC35</f>
        <v>112960</v>
      </c>
    </row>
    <row r="36" spans="1:31" s="78" customFormat="1" ht="105" customHeight="1" thickBot="1" x14ac:dyDescent="0.25">
      <c r="A36" s="42">
        <v>35</v>
      </c>
      <c r="B36" s="16" t="s">
        <v>301</v>
      </c>
      <c r="C36" s="16" t="s">
        <v>785</v>
      </c>
      <c r="D36" s="16" t="s">
        <v>759</v>
      </c>
      <c r="E36" s="16" t="s">
        <v>1228</v>
      </c>
      <c r="F36" s="16" t="s">
        <v>760</v>
      </c>
      <c r="G36" s="12" t="s">
        <v>841</v>
      </c>
      <c r="H36" s="16" t="s">
        <v>786</v>
      </c>
      <c r="I36" s="16" t="s">
        <v>1263</v>
      </c>
      <c r="J36" s="16" t="s">
        <v>781</v>
      </c>
      <c r="K36" s="16" t="s">
        <v>63</v>
      </c>
      <c r="L36" s="3" t="s">
        <v>842</v>
      </c>
      <c r="M36" s="3" t="s">
        <v>843</v>
      </c>
      <c r="N36" s="3" t="s">
        <v>844</v>
      </c>
      <c r="O36" s="16" t="s">
        <v>111</v>
      </c>
      <c r="P36" s="2" t="s">
        <v>819</v>
      </c>
      <c r="Q36" s="16">
        <v>641</v>
      </c>
      <c r="R36" s="16">
        <v>1602</v>
      </c>
      <c r="S36" s="16">
        <v>2883</v>
      </c>
      <c r="T36" s="16">
        <f t="shared" si="13"/>
        <v>5126</v>
      </c>
      <c r="U36" s="118">
        <v>3788492</v>
      </c>
      <c r="V36" s="62">
        <v>943610</v>
      </c>
      <c r="W36" s="62">
        <f t="shared" si="14"/>
        <v>4732102</v>
      </c>
      <c r="X36" s="158" t="s">
        <v>1104</v>
      </c>
      <c r="Y36" s="158" t="s">
        <v>1050</v>
      </c>
      <c r="Z36" s="188">
        <v>31861</v>
      </c>
      <c r="AA36" s="182"/>
      <c r="AB36" s="182">
        <v>31861</v>
      </c>
      <c r="AC36" s="182">
        <f>31861+63722</f>
        <v>95583</v>
      </c>
      <c r="AD36" s="179">
        <f>63722*2</f>
        <v>127444</v>
      </c>
      <c r="AE36" s="181">
        <f t="shared" ref="AE36" si="16">AB36+AC36</f>
        <v>127444</v>
      </c>
    </row>
    <row r="37" spans="1:31" s="78" customFormat="1" ht="120" customHeight="1" thickBot="1" x14ac:dyDescent="0.25">
      <c r="A37" s="42">
        <v>36</v>
      </c>
      <c r="B37" s="16" t="s">
        <v>301</v>
      </c>
      <c r="C37" s="16" t="s">
        <v>787</v>
      </c>
      <c r="D37" s="16" t="s">
        <v>759</v>
      </c>
      <c r="E37" s="16" t="s">
        <v>1228</v>
      </c>
      <c r="F37" s="16" t="s">
        <v>760</v>
      </c>
      <c r="G37" s="3" t="s">
        <v>845</v>
      </c>
      <c r="H37" s="16" t="s">
        <v>788</v>
      </c>
      <c r="I37" s="16" t="s">
        <v>1003</v>
      </c>
      <c r="J37" s="16" t="s">
        <v>789</v>
      </c>
      <c r="K37" s="16" t="s">
        <v>10</v>
      </c>
      <c r="L37" s="3" t="s">
        <v>35</v>
      </c>
      <c r="M37" s="3" t="s">
        <v>35</v>
      </c>
      <c r="N37" s="3" t="s">
        <v>35</v>
      </c>
      <c r="O37" s="16" t="s">
        <v>111</v>
      </c>
      <c r="P37" s="18" t="s">
        <v>846</v>
      </c>
      <c r="Q37" s="16">
        <v>548</v>
      </c>
      <c r="R37" s="16">
        <v>1660</v>
      </c>
      <c r="S37" s="16">
        <v>3352</v>
      </c>
      <c r="T37" s="16">
        <f t="shared" si="13"/>
        <v>5560</v>
      </c>
      <c r="U37" s="118">
        <v>3920233</v>
      </c>
      <c r="V37" s="62">
        <v>966370</v>
      </c>
      <c r="W37" s="62">
        <f t="shared" si="14"/>
        <v>4886603</v>
      </c>
      <c r="X37" s="77">
        <v>65169</v>
      </c>
      <c r="Y37" s="77">
        <v>130338</v>
      </c>
      <c r="Z37" s="174">
        <v>65169</v>
      </c>
      <c r="AA37" s="184"/>
      <c r="AB37" s="184">
        <v>65169</v>
      </c>
      <c r="AC37" s="184">
        <v>65169</v>
      </c>
      <c r="AD37" s="181">
        <v>130338</v>
      </c>
      <c r="AE37" s="181">
        <f>AB37+AC37</f>
        <v>130338</v>
      </c>
    </row>
    <row r="38" spans="1:31" s="78" customFormat="1" ht="75" customHeight="1" thickBot="1" x14ac:dyDescent="0.25">
      <c r="A38" s="42">
        <v>37</v>
      </c>
      <c r="B38" s="16" t="s">
        <v>301</v>
      </c>
      <c r="C38" s="16" t="s">
        <v>790</v>
      </c>
      <c r="D38" s="16" t="s">
        <v>759</v>
      </c>
      <c r="E38" s="16" t="s">
        <v>1228</v>
      </c>
      <c r="F38" s="16" t="s">
        <v>760</v>
      </c>
      <c r="G38" s="12" t="s">
        <v>847</v>
      </c>
      <c r="H38" s="16" t="s">
        <v>791</v>
      </c>
      <c r="I38" s="16" t="s">
        <v>1003</v>
      </c>
      <c r="J38" s="16" t="s">
        <v>789</v>
      </c>
      <c r="K38" s="16" t="s">
        <v>10</v>
      </c>
      <c r="L38" s="3" t="s">
        <v>35</v>
      </c>
      <c r="M38" s="3" t="s">
        <v>35</v>
      </c>
      <c r="N38" s="3" t="s">
        <v>35</v>
      </c>
      <c r="O38" s="16" t="s">
        <v>111</v>
      </c>
      <c r="P38" s="16" t="s">
        <v>846</v>
      </c>
      <c r="Q38" s="16">
        <v>123</v>
      </c>
      <c r="R38" s="16">
        <v>373</v>
      </c>
      <c r="S38" s="16">
        <v>753</v>
      </c>
      <c r="T38" s="16">
        <f t="shared" si="13"/>
        <v>1249</v>
      </c>
      <c r="U38" s="118">
        <v>5627436</v>
      </c>
      <c r="V38" s="62">
        <v>1394857</v>
      </c>
      <c r="W38" s="62">
        <f t="shared" si="14"/>
        <v>7022293</v>
      </c>
      <c r="X38" s="77">
        <v>94134</v>
      </c>
      <c r="Y38" s="77">
        <v>188268</v>
      </c>
      <c r="Z38" s="174">
        <v>94134</v>
      </c>
      <c r="AA38" s="184"/>
      <c r="AB38" s="184">
        <v>94134</v>
      </c>
      <c r="AC38" s="184">
        <v>94134</v>
      </c>
      <c r="AD38" s="181">
        <v>188268</v>
      </c>
      <c r="AE38" s="181">
        <f t="shared" ref="AE38:AE47" si="17">AB38+AC38</f>
        <v>188268</v>
      </c>
    </row>
    <row r="39" spans="1:31" s="78" customFormat="1" ht="409.6" thickBot="1" x14ac:dyDescent="0.25">
      <c r="A39" s="42">
        <v>38</v>
      </c>
      <c r="B39" s="16" t="s">
        <v>301</v>
      </c>
      <c r="C39" s="16" t="s">
        <v>792</v>
      </c>
      <c r="D39" s="16" t="s">
        <v>759</v>
      </c>
      <c r="E39" s="16" t="s">
        <v>1228</v>
      </c>
      <c r="F39" s="16" t="s">
        <v>760</v>
      </c>
      <c r="G39" s="12" t="s">
        <v>848</v>
      </c>
      <c r="H39" s="16" t="s">
        <v>793</v>
      </c>
      <c r="I39" s="16" t="s">
        <v>1003</v>
      </c>
      <c r="J39" s="16" t="s">
        <v>789</v>
      </c>
      <c r="K39" s="16" t="s">
        <v>10</v>
      </c>
      <c r="L39" s="3" t="s">
        <v>35</v>
      </c>
      <c r="M39" s="3" t="s">
        <v>35</v>
      </c>
      <c r="N39" s="3" t="s">
        <v>35</v>
      </c>
      <c r="O39" s="16" t="s">
        <v>111</v>
      </c>
      <c r="P39" s="16" t="s">
        <v>846</v>
      </c>
      <c r="Q39" s="16">
        <v>163</v>
      </c>
      <c r="R39" s="16">
        <v>495</v>
      </c>
      <c r="S39" s="16">
        <v>1000</v>
      </c>
      <c r="T39" s="16">
        <f t="shared" si="13"/>
        <v>1658</v>
      </c>
      <c r="U39" s="118">
        <v>2682008</v>
      </c>
      <c r="V39" s="62">
        <v>665187</v>
      </c>
      <c r="W39" s="62">
        <f t="shared" si="14"/>
        <v>3347195</v>
      </c>
      <c r="X39" s="77">
        <v>44895</v>
      </c>
      <c r="Y39" s="77">
        <v>89790</v>
      </c>
      <c r="Z39" s="174">
        <v>44895</v>
      </c>
      <c r="AA39" s="184"/>
      <c r="AB39" s="184">
        <v>44895</v>
      </c>
      <c r="AC39" s="184">
        <v>44895</v>
      </c>
      <c r="AD39" s="181">
        <v>89790</v>
      </c>
      <c r="AE39" s="181">
        <f t="shared" si="17"/>
        <v>89790</v>
      </c>
    </row>
    <row r="40" spans="1:31" s="78" customFormat="1" ht="409.6" thickBot="1" x14ac:dyDescent="0.25">
      <c r="A40" s="42">
        <v>39</v>
      </c>
      <c r="B40" s="16" t="s">
        <v>301</v>
      </c>
      <c r="C40" s="16" t="s">
        <v>794</v>
      </c>
      <c r="D40" s="16" t="s">
        <v>759</v>
      </c>
      <c r="E40" s="16" t="s">
        <v>1228</v>
      </c>
      <c r="F40" s="16" t="s">
        <v>760</v>
      </c>
      <c r="G40" s="12" t="s">
        <v>849</v>
      </c>
      <c r="H40" s="16" t="s">
        <v>795</v>
      </c>
      <c r="I40" s="16" t="s">
        <v>1003</v>
      </c>
      <c r="J40" s="16" t="s">
        <v>789</v>
      </c>
      <c r="K40" s="16" t="s">
        <v>10</v>
      </c>
      <c r="L40" s="3" t="s">
        <v>35</v>
      </c>
      <c r="M40" s="3" t="s">
        <v>35</v>
      </c>
      <c r="N40" s="3" t="s">
        <v>35</v>
      </c>
      <c r="O40" s="16" t="s">
        <v>111</v>
      </c>
      <c r="P40" s="16" t="s">
        <v>846</v>
      </c>
      <c r="Q40" s="16">
        <v>644</v>
      </c>
      <c r="R40" s="16">
        <v>1932</v>
      </c>
      <c r="S40" s="16">
        <v>3864</v>
      </c>
      <c r="T40" s="16">
        <f t="shared" si="13"/>
        <v>6440</v>
      </c>
      <c r="U40" s="118">
        <v>7272807</v>
      </c>
      <c r="V40" s="62">
        <v>1802597</v>
      </c>
      <c r="W40" s="62">
        <f t="shared" si="14"/>
        <v>9075404</v>
      </c>
      <c r="X40" s="77">
        <v>121650</v>
      </c>
      <c r="Y40" s="77">
        <v>243300</v>
      </c>
      <c r="Z40" s="174">
        <v>121650</v>
      </c>
      <c r="AA40" s="184"/>
      <c r="AB40" s="184">
        <v>121650</v>
      </c>
      <c r="AC40" s="184">
        <v>121650</v>
      </c>
      <c r="AD40" s="181">
        <v>243300</v>
      </c>
      <c r="AE40" s="181">
        <f t="shared" si="17"/>
        <v>243300</v>
      </c>
    </row>
    <row r="41" spans="1:31" s="78" customFormat="1" ht="107.1" customHeight="1" thickBot="1" x14ac:dyDescent="0.25">
      <c r="A41" s="42">
        <v>40</v>
      </c>
      <c r="B41" s="16" t="s">
        <v>301</v>
      </c>
      <c r="C41" s="16" t="s">
        <v>799</v>
      </c>
      <c r="D41" s="16" t="s">
        <v>759</v>
      </c>
      <c r="E41" s="16" t="s">
        <v>1228</v>
      </c>
      <c r="F41" s="16" t="s">
        <v>760</v>
      </c>
      <c r="G41" s="12" t="s">
        <v>851</v>
      </c>
      <c r="H41" s="16" t="s">
        <v>800</v>
      </c>
      <c r="I41" s="16" t="s">
        <v>1002</v>
      </c>
      <c r="J41" s="16" t="s">
        <v>784</v>
      </c>
      <c r="K41" s="16" t="s">
        <v>63</v>
      </c>
      <c r="L41" s="14" t="s">
        <v>838</v>
      </c>
      <c r="M41" s="6" t="s">
        <v>852</v>
      </c>
      <c r="N41" s="15" t="s">
        <v>853</v>
      </c>
      <c r="O41" s="16" t="s">
        <v>111</v>
      </c>
      <c r="P41" s="16" t="s">
        <v>819</v>
      </c>
      <c r="Q41" s="16">
        <v>150</v>
      </c>
      <c r="R41" s="16">
        <v>450</v>
      </c>
      <c r="S41" s="16">
        <v>900</v>
      </c>
      <c r="T41" s="16">
        <f t="shared" si="13"/>
        <v>1500</v>
      </c>
      <c r="U41" s="118">
        <v>4115596</v>
      </c>
      <c r="V41" s="62">
        <v>1009928</v>
      </c>
      <c r="W41" s="62">
        <f t="shared" si="14"/>
        <v>5125524</v>
      </c>
      <c r="X41" s="158" t="s">
        <v>1109</v>
      </c>
      <c r="Y41" s="158" t="s">
        <v>1051</v>
      </c>
      <c r="Z41" s="188" t="s">
        <v>1217</v>
      </c>
      <c r="AA41" s="182"/>
      <c r="AB41" s="183">
        <v>34033.019999999997</v>
      </c>
      <c r="AC41" s="182">
        <f>68066+34033</f>
        <v>102099</v>
      </c>
      <c r="AD41" s="179">
        <f>68066*2</f>
        <v>136132</v>
      </c>
      <c r="AE41" s="181">
        <f t="shared" si="17"/>
        <v>136132.01999999999</v>
      </c>
    </row>
    <row r="42" spans="1:31" s="78" customFormat="1" ht="75.599999999999994" customHeight="1" thickBot="1" x14ac:dyDescent="0.25">
      <c r="A42" s="42">
        <v>41</v>
      </c>
      <c r="B42" s="16" t="s">
        <v>301</v>
      </c>
      <c r="C42" s="16" t="s">
        <v>801</v>
      </c>
      <c r="D42" s="16" t="s">
        <v>759</v>
      </c>
      <c r="E42" s="16" t="s">
        <v>1228</v>
      </c>
      <c r="F42" s="16" t="s">
        <v>760</v>
      </c>
      <c r="G42" s="12" t="s">
        <v>854</v>
      </c>
      <c r="H42" s="16" t="s">
        <v>802</v>
      </c>
      <c r="I42" s="16" t="s">
        <v>1003</v>
      </c>
      <c r="J42" s="16" t="s">
        <v>789</v>
      </c>
      <c r="K42" s="16" t="s">
        <v>10</v>
      </c>
      <c r="L42" s="3" t="s">
        <v>34</v>
      </c>
      <c r="M42" s="3" t="s">
        <v>34</v>
      </c>
      <c r="N42" s="3" t="s">
        <v>34</v>
      </c>
      <c r="O42" s="16" t="s">
        <v>111</v>
      </c>
      <c r="P42" s="18" t="s">
        <v>819</v>
      </c>
      <c r="Q42" s="16">
        <v>719</v>
      </c>
      <c r="R42" s="16">
        <v>1917</v>
      </c>
      <c r="S42" s="2">
        <v>3594</v>
      </c>
      <c r="T42" s="119">
        <f t="shared" si="13"/>
        <v>6230</v>
      </c>
      <c r="U42" s="118">
        <v>4473330</v>
      </c>
      <c r="V42" s="120">
        <v>1115062</v>
      </c>
      <c r="W42" s="62">
        <f t="shared" si="14"/>
        <v>5588392</v>
      </c>
      <c r="X42" s="77">
        <v>75307</v>
      </c>
      <c r="Y42" s="77">
        <v>150614</v>
      </c>
      <c r="Z42" s="174">
        <v>75307</v>
      </c>
      <c r="AA42" s="184"/>
      <c r="AB42" s="184">
        <v>75307</v>
      </c>
      <c r="AC42" s="184">
        <v>75307</v>
      </c>
      <c r="AD42" s="181">
        <v>150614</v>
      </c>
      <c r="AE42" s="181">
        <f t="shared" si="17"/>
        <v>150614</v>
      </c>
    </row>
    <row r="43" spans="1:31" s="78" customFormat="1" ht="409.6" thickBot="1" x14ac:dyDescent="0.25">
      <c r="A43" s="42">
        <v>42</v>
      </c>
      <c r="B43" s="16" t="s">
        <v>301</v>
      </c>
      <c r="C43" s="16" t="s">
        <v>806</v>
      </c>
      <c r="D43" s="16" t="s">
        <v>759</v>
      </c>
      <c r="E43" s="16" t="s">
        <v>1228</v>
      </c>
      <c r="F43" s="16" t="s">
        <v>760</v>
      </c>
      <c r="G43" s="12" t="s">
        <v>856</v>
      </c>
      <c r="H43" s="16" t="s">
        <v>807</v>
      </c>
      <c r="I43" s="16" t="s">
        <v>1003</v>
      </c>
      <c r="J43" s="16" t="s">
        <v>789</v>
      </c>
      <c r="K43" s="16" t="s">
        <v>10</v>
      </c>
      <c r="L43" s="3" t="s">
        <v>34</v>
      </c>
      <c r="M43" s="3" t="s">
        <v>34</v>
      </c>
      <c r="N43" s="3" t="s">
        <v>34</v>
      </c>
      <c r="O43" s="16" t="s">
        <v>111</v>
      </c>
      <c r="P43" s="16" t="s">
        <v>819</v>
      </c>
      <c r="Q43" s="16">
        <v>460</v>
      </c>
      <c r="R43" s="16">
        <v>1394</v>
      </c>
      <c r="S43" s="16">
        <v>2816</v>
      </c>
      <c r="T43" s="16">
        <f t="shared" si="13"/>
        <v>4670</v>
      </c>
      <c r="U43" s="118">
        <v>5027551</v>
      </c>
      <c r="V43" s="62">
        <v>1244818</v>
      </c>
      <c r="W43" s="62">
        <f t="shared" si="14"/>
        <v>6272369</v>
      </c>
      <c r="X43" s="77">
        <v>27998</v>
      </c>
      <c r="Y43" s="77">
        <v>111994</v>
      </c>
      <c r="Z43" s="174">
        <v>83996</v>
      </c>
      <c r="AA43" s="184"/>
      <c r="AB43" s="184">
        <v>83996</v>
      </c>
      <c r="AC43" s="184">
        <v>27998</v>
      </c>
      <c r="AD43" s="181">
        <v>111994</v>
      </c>
      <c r="AE43" s="181">
        <f t="shared" si="17"/>
        <v>111994</v>
      </c>
    </row>
    <row r="44" spans="1:31" s="78" customFormat="1" ht="75.95" customHeight="1" thickBot="1" x14ac:dyDescent="0.25">
      <c r="A44" s="42">
        <v>43</v>
      </c>
      <c r="B44" s="16" t="s">
        <v>301</v>
      </c>
      <c r="C44" s="16" t="s">
        <v>808</v>
      </c>
      <c r="D44" s="16" t="s">
        <v>759</v>
      </c>
      <c r="E44" s="16" t="s">
        <v>1228</v>
      </c>
      <c r="F44" s="16" t="s">
        <v>760</v>
      </c>
      <c r="G44" s="12" t="s">
        <v>857</v>
      </c>
      <c r="H44" s="16" t="s">
        <v>809</v>
      </c>
      <c r="I44" s="16" t="s">
        <v>1003</v>
      </c>
      <c r="J44" s="16" t="s">
        <v>789</v>
      </c>
      <c r="K44" s="16" t="s">
        <v>10</v>
      </c>
      <c r="L44" s="3" t="s">
        <v>34</v>
      </c>
      <c r="M44" s="3" t="s">
        <v>34</v>
      </c>
      <c r="N44" s="3" t="s">
        <v>34</v>
      </c>
      <c r="O44" s="16" t="s">
        <v>111</v>
      </c>
      <c r="P44" s="18" t="s">
        <v>819</v>
      </c>
      <c r="Q44" s="16">
        <v>2122</v>
      </c>
      <c r="R44" s="16">
        <v>5305</v>
      </c>
      <c r="S44" s="16">
        <v>9549</v>
      </c>
      <c r="T44" s="16">
        <f t="shared" si="13"/>
        <v>16976</v>
      </c>
      <c r="U44" s="118">
        <v>7843891</v>
      </c>
      <c r="V44" s="62">
        <v>1978913</v>
      </c>
      <c r="W44" s="62">
        <f t="shared" si="14"/>
        <v>9822804</v>
      </c>
      <c r="X44" s="77">
        <v>43929</v>
      </c>
      <c r="Y44" s="77">
        <v>175716</v>
      </c>
      <c r="Z44" s="174">
        <v>131787</v>
      </c>
      <c r="AA44" s="184"/>
      <c r="AB44" s="184">
        <v>131787</v>
      </c>
      <c r="AC44" s="184">
        <v>43929</v>
      </c>
      <c r="AD44" s="181">
        <v>175716</v>
      </c>
      <c r="AE44" s="181">
        <f>AB44+AC44</f>
        <v>175716</v>
      </c>
    </row>
    <row r="45" spans="1:31" s="78" customFormat="1" ht="75.599999999999994" customHeight="1" thickBot="1" x14ac:dyDescent="0.25">
      <c r="A45" s="42">
        <v>44</v>
      </c>
      <c r="B45" s="16" t="s">
        <v>301</v>
      </c>
      <c r="C45" s="16" t="s">
        <v>813</v>
      </c>
      <c r="D45" s="16" t="s">
        <v>759</v>
      </c>
      <c r="E45" s="16" t="s">
        <v>1228</v>
      </c>
      <c r="F45" s="16" t="s">
        <v>760</v>
      </c>
      <c r="G45" s="12" t="s">
        <v>859</v>
      </c>
      <c r="H45" s="16" t="s">
        <v>814</v>
      </c>
      <c r="I45" s="16" t="s">
        <v>1003</v>
      </c>
      <c r="J45" s="16" t="s">
        <v>789</v>
      </c>
      <c r="K45" s="16" t="s">
        <v>10</v>
      </c>
      <c r="L45" s="3" t="s">
        <v>34</v>
      </c>
      <c r="M45" s="3" t="s">
        <v>34</v>
      </c>
      <c r="N45" s="3" t="s">
        <v>34</v>
      </c>
      <c r="O45" s="16" t="s">
        <v>111</v>
      </c>
      <c r="P45" s="16" t="s">
        <v>819</v>
      </c>
      <c r="Q45" s="16">
        <v>47</v>
      </c>
      <c r="R45" s="16">
        <v>118</v>
      </c>
      <c r="S45" s="16">
        <v>214</v>
      </c>
      <c r="T45" s="16">
        <f t="shared" si="13"/>
        <v>379</v>
      </c>
      <c r="U45" s="118">
        <v>2046964</v>
      </c>
      <c r="V45" s="62">
        <v>627946</v>
      </c>
      <c r="W45" s="62">
        <f t="shared" si="14"/>
        <v>2674910</v>
      </c>
      <c r="X45" s="77">
        <v>21723</v>
      </c>
      <c r="Y45" s="77">
        <v>65169</v>
      </c>
      <c r="Z45" s="174">
        <v>43446</v>
      </c>
      <c r="AA45" s="184"/>
      <c r="AB45" s="184">
        <v>43446</v>
      </c>
      <c r="AC45" s="184">
        <v>21723</v>
      </c>
      <c r="AD45" s="181">
        <v>65169</v>
      </c>
      <c r="AE45" s="181">
        <f t="shared" si="17"/>
        <v>65169</v>
      </c>
    </row>
    <row r="46" spans="1:31" s="78" customFormat="1" ht="89.1" customHeight="1" thickBot="1" x14ac:dyDescent="0.25">
      <c r="A46" s="42">
        <v>45</v>
      </c>
      <c r="B46" s="16" t="s">
        <v>362</v>
      </c>
      <c r="C46" s="16" t="s">
        <v>815</v>
      </c>
      <c r="D46" s="16" t="s">
        <v>759</v>
      </c>
      <c r="E46" s="16" t="s">
        <v>1228</v>
      </c>
      <c r="F46" s="16" t="s">
        <v>760</v>
      </c>
      <c r="G46" s="3" t="s">
        <v>860</v>
      </c>
      <c r="H46" s="16" t="s">
        <v>816</v>
      </c>
      <c r="I46" s="16" t="s">
        <v>993</v>
      </c>
      <c r="J46" s="16" t="s">
        <v>817</v>
      </c>
      <c r="K46" s="16" t="s">
        <v>10</v>
      </c>
      <c r="L46" s="3" t="s">
        <v>34</v>
      </c>
      <c r="M46" s="3" t="s">
        <v>34</v>
      </c>
      <c r="N46" s="3" t="s">
        <v>34</v>
      </c>
      <c r="O46" s="16" t="s">
        <v>111</v>
      </c>
      <c r="P46" s="2" t="s">
        <v>819</v>
      </c>
      <c r="Q46" s="16">
        <v>0</v>
      </c>
      <c r="R46" s="16">
        <v>900</v>
      </c>
      <c r="S46" s="16">
        <v>2100</v>
      </c>
      <c r="T46" s="16">
        <f t="shared" si="13"/>
        <v>3000</v>
      </c>
      <c r="U46" s="118">
        <v>2624239</v>
      </c>
      <c r="V46" s="62">
        <v>357361</v>
      </c>
      <c r="W46" s="62">
        <f t="shared" si="14"/>
        <v>2981600</v>
      </c>
      <c r="X46" s="77">
        <v>21808</v>
      </c>
      <c r="Y46" s="77">
        <v>43616</v>
      </c>
      <c r="Z46" s="174">
        <v>0</v>
      </c>
      <c r="AA46" s="184"/>
      <c r="AB46" s="184">
        <v>0</v>
      </c>
      <c r="AC46" s="184">
        <v>21808</v>
      </c>
      <c r="AD46" s="245">
        <v>43616</v>
      </c>
      <c r="AE46" s="245">
        <f t="shared" si="17"/>
        <v>21808</v>
      </c>
    </row>
    <row r="47" spans="1:31" s="78" customFormat="1" ht="242.45" customHeight="1" thickBot="1" x14ac:dyDescent="0.25">
      <c r="A47" s="42">
        <v>46</v>
      </c>
      <c r="B47" s="2" t="s">
        <v>55</v>
      </c>
      <c r="C47" s="3" t="s">
        <v>864</v>
      </c>
      <c r="D47" s="2" t="s">
        <v>1020</v>
      </c>
      <c r="E47" s="2" t="s">
        <v>1235</v>
      </c>
      <c r="F47" s="2" t="s">
        <v>75</v>
      </c>
      <c r="G47" s="3" t="s">
        <v>903</v>
      </c>
      <c r="H47" s="2" t="s">
        <v>865</v>
      </c>
      <c r="I47" s="2" t="s">
        <v>1011</v>
      </c>
      <c r="J47" s="2" t="s">
        <v>866</v>
      </c>
      <c r="K47" s="2" t="s">
        <v>209</v>
      </c>
      <c r="L47" s="44" t="s">
        <v>1063</v>
      </c>
      <c r="M47" s="44" t="s">
        <v>1063</v>
      </c>
      <c r="N47" s="3" t="s">
        <v>1063</v>
      </c>
      <c r="O47" s="58" t="s">
        <v>189</v>
      </c>
      <c r="P47" s="58" t="s">
        <v>904</v>
      </c>
      <c r="Q47" s="58">
        <v>1200</v>
      </c>
      <c r="R47" s="21">
        <v>2460</v>
      </c>
      <c r="S47" s="21">
        <v>3780</v>
      </c>
      <c r="T47" s="121">
        <f t="shared" si="13"/>
        <v>7440</v>
      </c>
      <c r="U47" s="53">
        <v>6240000</v>
      </c>
      <c r="V47" s="122">
        <v>904944</v>
      </c>
      <c r="W47" s="123">
        <f>SUM(U47:V47)</f>
        <v>7144944</v>
      </c>
      <c r="X47" s="167" t="s">
        <v>1105</v>
      </c>
      <c r="Y47" s="120" t="s">
        <v>1052</v>
      </c>
      <c r="Z47" s="234">
        <v>0</v>
      </c>
      <c r="AA47" s="182"/>
      <c r="AB47" s="182">
        <v>0</v>
      </c>
      <c r="AC47" s="182">
        <f>34761*3</f>
        <v>104283</v>
      </c>
      <c r="AD47" s="246">
        <f>69522*3</f>
        <v>208566</v>
      </c>
      <c r="AE47" s="245">
        <f t="shared" si="17"/>
        <v>104283</v>
      </c>
    </row>
    <row r="48" spans="1:31" s="78" customFormat="1" ht="225.95" customHeight="1" thickBot="1" x14ac:dyDescent="0.25">
      <c r="A48" s="42">
        <v>47</v>
      </c>
      <c r="B48" s="2" t="s">
        <v>79</v>
      </c>
      <c r="C48" s="2" t="s">
        <v>881</v>
      </c>
      <c r="D48" s="2" t="s">
        <v>1020</v>
      </c>
      <c r="E48" s="2" t="s">
        <v>1248</v>
      </c>
      <c r="F48" s="2" t="s">
        <v>75</v>
      </c>
      <c r="G48" s="3" t="s">
        <v>916</v>
      </c>
      <c r="H48" s="56" t="s">
        <v>882</v>
      </c>
      <c r="I48" s="2" t="s">
        <v>992</v>
      </c>
      <c r="J48" s="2" t="s">
        <v>883</v>
      </c>
      <c r="K48" s="2" t="s">
        <v>209</v>
      </c>
      <c r="L48" s="44" t="s">
        <v>1063</v>
      </c>
      <c r="M48" s="44" t="s">
        <v>1063</v>
      </c>
      <c r="N48" s="3" t="s">
        <v>1063</v>
      </c>
      <c r="O48" s="3" t="s">
        <v>189</v>
      </c>
      <c r="P48" s="2"/>
      <c r="Q48" s="2">
        <f>0</f>
        <v>0</v>
      </c>
      <c r="R48" s="2">
        <v>350</v>
      </c>
      <c r="S48" s="2">
        <v>750</v>
      </c>
      <c r="T48" s="124">
        <f t="shared" si="13"/>
        <v>1100</v>
      </c>
      <c r="U48" s="54">
        <v>3388865</v>
      </c>
      <c r="V48" s="122">
        <v>713454</v>
      </c>
      <c r="W48" s="123">
        <f t="shared" ref="W48" si="18">SUM(U48:V48)</f>
        <v>4102319</v>
      </c>
      <c r="X48" s="167" t="s">
        <v>1106</v>
      </c>
      <c r="Y48" s="120" t="s">
        <v>1053</v>
      </c>
      <c r="Z48" s="234" t="s">
        <v>1106</v>
      </c>
      <c r="AA48" s="182"/>
      <c r="AB48" s="182" t="s">
        <v>1106</v>
      </c>
      <c r="AC48" s="182">
        <f>28169*3</f>
        <v>84507</v>
      </c>
      <c r="AD48" s="11">
        <f>56338*3</f>
        <v>169014</v>
      </c>
      <c r="AE48" s="181">
        <f>(28169*3)+84507</f>
        <v>169014</v>
      </c>
    </row>
    <row r="49" spans="1:31" s="78" customFormat="1" ht="390.75" thickBot="1" x14ac:dyDescent="0.25">
      <c r="A49" s="42">
        <v>48</v>
      </c>
      <c r="B49" s="2" t="s">
        <v>351</v>
      </c>
      <c r="C49" s="2" t="s">
        <v>889</v>
      </c>
      <c r="D49" s="2" t="s">
        <v>1020</v>
      </c>
      <c r="E49" s="2" t="s">
        <v>1235</v>
      </c>
      <c r="F49" s="2" t="s">
        <v>75</v>
      </c>
      <c r="G49" s="3" t="s">
        <v>921</v>
      </c>
      <c r="H49" s="56" t="s">
        <v>890</v>
      </c>
      <c r="I49" s="2" t="s">
        <v>992</v>
      </c>
      <c r="J49" s="2" t="s">
        <v>457</v>
      </c>
      <c r="K49" s="2" t="s">
        <v>10</v>
      </c>
      <c r="L49" s="44" t="s">
        <v>34</v>
      </c>
      <c r="M49" s="44" t="s">
        <v>34</v>
      </c>
      <c r="N49" s="3" t="s">
        <v>34</v>
      </c>
      <c r="O49" s="3" t="s">
        <v>28</v>
      </c>
      <c r="P49" s="3" t="s">
        <v>922</v>
      </c>
      <c r="Q49" s="125">
        <v>0</v>
      </c>
      <c r="R49" s="125">
        <v>107</v>
      </c>
      <c r="S49" s="125">
        <v>222</v>
      </c>
      <c r="T49" s="126">
        <f t="shared" ref="T49:T50" si="19">SUM(Q49:S49)</f>
        <v>329</v>
      </c>
      <c r="U49" s="65">
        <v>2967158.8354780604</v>
      </c>
      <c r="V49" s="122">
        <v>1056411</v>
      </c>
      <c r="W49" s="123">
        <f t="shared" ref="W49:W50" si="20">SUM(U49:V49)</f>
        <v>4023569.8354780604</v>
      </c>
      <c r="X49" s="123">
        <v>86228</v>
      </c>
      <c r="Y49" s="62">
        <v>172456</v>
      </c>
      <c r="Z49" s="235">
        <v>90495</v>
      </c>
      <c r="AA49" s="184"/>
      <c r="AB49" s="184">
        <v>90495</v>
      </c>
      <c r="AC49" s="184">
        <v>86228</v>
      </c>
      <c r="AD49" s="181">
        <v>172456</v>
      </c>
      <c r="AE49" s="181">
        <f t="shared" ref="AE49:AE50" si="21">AB49+AC49</f>
        <v>176723</v>
      </c>
    </row>
    <row r="50" spans="1:31" s="78" customFormat="1" ht="120.95" customHeight="1" thickBot="1" x14ac:dyDescent="0.25">
      <c r="A50" s="42">
        <v>49</v>
      </c>
      <c r="B50" s="2" t="s">
        <v>458</v>
      </c>
      <c r="C50" s="2" t="s">
        <v>891</v>
      </c>
      <c r="D50" s="2" t="s">
        <v>1020</v>
      </c>
      <c r="E50" s="2" t="s">
        <v>1235</v>
      </c>
      <c r="F50" s="2" t="s">
        <v>75</v>
      </c>
      <c r="G50" s="3" t="s">
        <v>923</v>
      </c>
      <c r="H50" s="56" t="s">
        <v>892</v>
      </c>
      <c r="I50" s="2" t="s">
        <v>992</v>
      </c>
      <c r="J50" s="2" t="s">
        <v>893</v>
      </c>
      <c r="K50" s="2" t="s">
        <v>10</v>
      </c>
      <c r="L50" s="44" t="s">
        <v>34</v>
      </c>
      <c r="M50" s="44" t="s">
        <v>34</v>
      </c>
      <c r="N50" s="3" t="s">
        <v>34</v>
      </c>
      <c r="O50" s="3" t="s">
        <v>28</v>
      </c>
      <c r="P50" s="3" t="s">
        <v>924</v>
      </c>
      <c r="Q50" s="3">
        <v>0</v>
      </c>
      <c r="R50" s="3">
        <v>180</v>
      </c>
      <c r="S50" s="3">
        <v>380</v>
      </c>
      <c r="T50" s="126">
        <f t="shared" si="19"/>
        <v>560</v>
      </c>
      <c r="U50" s="65">
        <v>676986</v>
      </c>
      <c r="V50" s="122">
        <v>327686</v>
      </c>
      <c r="W50" s="123">
        <f t="shared" si="20"/>
        <v>1004672</v>
      </c>
      <c r="X50" s="123">
        <v>23824</v>
      </c>
      <c r="Y50" s="62">
        <v>47648</v>
      </c>
      <c r="Z50" s="235">
        <v>0</v>
      </c>
      <c r="AA50" s="184"/>
      <c r="AB50" s="184">
        <v>0</v>
      </c>
      <c r="AC50" s="184">
        <v>23824</v>
      </c>
      <c r="AD50" s="245">
        <v>47648</v>
      </c>
      <c r="AE50" s="245">
        <f t="shared" si="21"/>
        <v>23824</v>
      </c>
    </row>
    <row r="53" spans="1:31" ht="75.75" x14ac:dyDescent="0.25">
      <c r="C53" s="578">
        <f>(49/175)</f>
        <v>0.28000000000000003</v>
      </c>
      <c r="D53" s="577" t="s">
        <v>1316</v>
      </c>
    </row>
    <row r="54" spans="1:31" x14ac:dyDescent="0.25">
      <c r="A54">
        <v>27</v>
      </c>
      <c r="B54" t="s">
        <v>1322</v>
      </c>
    </row>
    <row r="55" spans="1:31" x14ac:dyDescent="0.25">
      <c r="A55" t="s">
        <v>1323</v>
      </c>
      <c r="B55">
        <f>27-14</f>
        <v>13</v>
      </c>
      <c r="C55" s="576">
        <f>13/27</f>
        <v>0.48148148148148145</v>
      </c>
    </row>
    <row r="56" spans="1:31" x14ac:dyDescent="0.25">
      <c r="A56" t="s">
        <v>1324</v>
      </c>
      <c r="B56">
        <v>14</v>
      </c>
      <c r="C56" s="576">
        <f>14/27</f>
        <v>0.51851851851851849</v>
      </c>
    </row>
  </sheetData>
  <autoFilter ref="A1:Z5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opLeftCell="C52" zoomScale="70" zoomScaleNormal="70" workbookViewId="0">
      <selection activeCell="N70" sqref="N70"/>
    </sheetView>
  </sheetViews>
  <sheetFormatPr defaultRowHeight="15" x14ac:dyDescent="0.25"/>
  <cols>
    <col min="1" max="1" width="80" style="175" customWidth="1"/>
    <col min="3" max="3" width="4.42578125" customWidth="1"/>
    <col min="4" max="4" width="5.5703125" customWidth="1"/>
    <col min="5" max="5" width="6.85546875" customWidth="1"/>
    <col min="6" max="6" width="5.42578125" customWidth="1"/>
    <col min="7" max="7" width="6" customWidth="1"/>
    <col min="8" max="8" width="17.42578125" bestFit="1" customWidth="1"/>
    <col min="9" max="9" width="17.5703125" customWidth="1"/>
    <col min="10" max="10" width="18.5703125" customWidth="1"/>
    <col min="11" max="11" width="18" bestFit="1" customWidth="1"/>
    <col min="12" max="12" width="10.85546875" customWidth="1"/>
    <col min="13" max="13" width="17.42578125" bestFit="1" customWidth="1"/>
    <col min="14" max="14" width="12.140625" bestFit="1" customWidth="1"/>
    <col min="15" max="15" width="11.5703125" customWidth="1"/>
  </cols>
  <sheetData>
    <row r="1" spans="1:15" ht="57.95" x14ac:dyDescent="0.35">
      <c r="A1" s="175" t="s">
        <v>1198</v>
      </c>
      <c r="B1" t="s">
        <v>1199</v>
      </c>
      <c r="E1" t="s">
        <v>1209</v>
      </c>
      <c r="F1" t="s">
        <v>1210</v>
      </c>
      <c r="G1" t="s">
        <v>1211</v>
      </c>
      <c r="H1" t="s">
        <v>1212</v>
      </c>
      <c r="I1" t="s">
        <v>1211</v>
      </c>
      <c r="J1" s="572" t="s">
        <v>1221</v>
      </c>
      <c r="K1" t="s">
        <v>1222</v>
      </c>
      <c r="L1" s="572" t="s">
        <v>1223</v>
      </c>
      <c r="O1" t="s">
        <v>1518</v>
      </c>
    </row>
    <row r="2" spans="1:15" x14ac:dyDescent="0.25">
      <c r="A2" s="175" t="s">
        <v>1122</v>
      </c>
      <c r="B2">
        <v>1</v>
      </c>
      <c r="C2" s="177"/>
      <c r="D2" t="s">
        <v>1201</v>
      </c>
      <c r="E2" s="189">
        <f>SUM('All Summaries'!BI2:BI57,'All Summaries'!BI65)</f>
        <v>14305166</v>
      </c>
      <c r="F2" s="189">
        <f>SUM('All Summaries'!BH2:BH57,'All Summaries'!BH65)</f>
        <v>13211654</v>
      </c>
      <c r="G2" s="194">
        <f>(F2/E2)*100</f>
        <v>92.355824462295644</v>
      </c>
      <c r="H2" s="189">
        <f>SUM('All Summaries'!AM2:AM57,'All Summaries'!AM65)</f>
        <v>583103724.58999991</v>
      </c>
      <c r="I2" s="194" t="e">
        <f>(H2/$H$10)*100</f>
        <v>#REF!</v>
      </c>
      <c r="J2" s="206">
        <f>SUM('All Summaries'!BI2+'All Summaries'!BI3+'All Summaries'!BI4+'All Summaries'!BI5+'All Summaries'!BI6+'All Summaries'!BI7+'All Summaries'!BI8+'All Summaries'!BI9+'All Summaries'!BI10+'All Summaries'!BI11+'All Summaries'!BI12+'All Summaries'!BI13+'All Summaries'!BI14+'All Summaries'!BI15+'All Summaries'!BI16+'All Summaries'!BI17+'All Summaries'!BI18+'All Summaries'!BI19+'All Summaries'!BI20+'All Summaries'!BI21+'All Summaries'!BI22+'All Summaries'!BI23+'All Summaries'!BI24+'All Summaries'!BI25+'All Summaries'!BI26+'All Summaries'!BI27+'All Summaries'!BI28+'All Summaries'!BI29+'All Summaries'!BI30+'All Summaries'!BI31+'All Summaries'!BI32+'All Summaries'!BI33+'All Summaries'!BI34+'All Summaries'!BI35+'All Summaries'!BI36+'All Summaries'!BI37+'All Summaries'!BI38+'All Summaries'!BI39+'All Summaries'!BI40+'All Summaries'!BI41+'All Summaries'!BI42+'All Summaries'!BI43+'All Summaries'!BI44+'All Summaries'!BI45+'All Summaries'!BI46+'All Summaries'!BI47+'All Summaries'!BI48+'All Summaries'!BI49+'All Summaries'!BI50+'All Summaries'!BI51+'All Summaries'!BI52+'All Summaries'!BI53+'All Summaries'!BI54+'All Summaries'!BI55+'All Summaries'!BI56+'All Summaries'!BI57+'All Summaries'!BI65)</f>
        <v>14305166</v>
      </c>
      <c r="K2" s="206">
        <f>SUM('All Summaries'!BJ2:BJ57,'All Summaries'!BJ65)</f>
        <v>13546906</v>
      </c>
      <c r="L2" s="208">
        <f>(K2/J2)*100</f>
        <v>94.699397406503365</v>
      </c>
    </row>
    <row r="3" spans="1:15" x14ac:dyDescent="0.25">
      <c r="A3" s="178" t="s">
        <v>1112</v>
      </c>
      <c r="B3" s="177">
        <v>1</v>
      </c>
      <c r="D3" t="s">
        <v>1202</v>
      </c>
      <c r="E3" s="189">
        <f>SUM('All Summaries'!BI61+'All Summaries'!BI67+'All Summaries'!BI69+'All Summaries'!BI71+'All Summaries'!BI72+'All Summaries'!BI73+'All Summaries'!BI75+'All Summaries'!BI81+'All Summaries'!BI83+'All Summaries'!BI87+'All Summaries'!BI88+'All Summaries'!BI95+'All Summaries'!BI125)</f>
        <v>3869387.33</v>
      </c>
      <c r="F3" s="189">
        <f>SUM('All Summaries'!BH61+'All Summaries'!BH67+'All Summaries'!BH69+'All Summaries'!BH71+'All Summaries'!BH72+'All Summaries'!BH73+'All Summaries'!BH75+'All Summaries'!BH81+'All Summaries'!BH83+'All Summaries'!BH87+'All Summaries'!BH88+'All Summaries'!BH95+'All Summaries'!BH125)</f>
        <v>3540371.33</v>
      </c>
      <c r="G3" s="194">
        <f t="shared" ref="G3:G8" si="0">(F3/E3)*100</f>
        <v>91.49694843291897</v>
      </c>
      <c r="H3" s="189">
        <f>SUM('All Summaries'!AM61+'All Summaries'!AM67+'All Summaries'!AM69+'All Summaries'!AM71+'All Summaries'!AM72+'All Summaries'!AM73+'All Summaries'!AM75+'All Summaries'!AM81+'All Summaries'!AM83+'All Summaries'!AM87+'All Summaries'!AM88+'All Summaries'!AM94+'All Summaries'!AM95+'All Summaries'!AM125)</f>
        <v>124815175.58696988</v>
      </c>
      <c r="I3" s="194" t="e">
        <f>(H3/$H$10)*100</f>
        <v>#REF!</v>
      </c>
      <c r="J3" s="206">
        <f t="shared" ref="J3:J9" si="1">E3</f>
        <v>3869387.33</v>
      </c>
      <c r="K3" s="206">
        <f>SUM('All Summaries'!BJ61+'All Summaries'!BJ67+'All Summaries'!BJ69+'All Summaries'!BJ71+'All Summaries'!BJ72+'All Summaries'!BJ73+'All Summaries'!BJ75+'All Summaries'!BJ81+'All Summaries'!BJ83+'All Summaries'!BJ87+'All Summaries'!BJ88+'All Summaries'!BJ94+'All Summaries'!BJ95+'All Summaries'!BJ125)</f>
        <v>3776108.33</v>
      </c>
      <c r="L3" s="208">
        <f t="shared" ref="L3:L10" si="2">(K3/J3)*100</f>
        <v>97.589308279458294</v>
      </c>
    </row>
    <row r="4" spans="1:15" x14ac:dyDescent="0.25">
      <c r="A4" s="175" t="s">
        <v>1111</v>
      </c>
      <c r="B4">
        <v>2</v>
      </c>
      <c r="D4" t="s">
        <v>1203</v>
      </c>
      <c r="E4" s="189">
        <f>SUM('All Summaries'!BI58+'All Summaries'!BI60+'All Summaries'!BI155+'All Summaries'!BI156+'All Summaries'!BI157+'All Summaries'!BI158+'All Summaries'!BI159+'All Summaries'!BI160+'All Summaries'!BI161+'All Summaries'!BI162+'All Summaries'!BI163+'All Summaries'!BI164+'All Summaries'!BI165+'All Summaries'!BI166+'All Summaries'!BI167+'All Summaries'!BI168)</f>
        <v>5124207</v>
      </c>
      <c r="F4" s="189">
        <f>SUM('All Summaries'!BH58+'All Summaries'!BH60+'All Summaries'!BH155+'All Summaries'!BH156+'All Summaries'!BH157+'All Summaries'!BH158+'All Summaries'!BH159+'All Summaries'!BH160+'All Summaries'!BH161+'All Summaries'!BH162+'All Summaries'!BH163+'All Summaries'!BH164+'All Summaries'!BH165+'All Summaries'!BH166+'All Summaries'!BH167+'All Summaries'!BH168)</f>
        <v>4825365</v>
      </c>
      <c r="G4" s="194">
        <f t="shared" si="0"/>
        <v>94.168034195339885</v>
      </c>
      <c r="H4" s="189">
        <f>SUM('All Summaries'!AM58+'All Summaries'!AM60+'All Summaries'!AM155+'All Summaries'!AM156+'All Summaries'!AM157+'All Summaries'!AM158+'All Summaries'!AM159+'All Summaries'!AM160+'All Summaries'!AM161+'All Summaries'!AM162+'All Summaries'!AM163+'All Summaries'!AM164+'All Summaries'!AM165+'All Summaries'!AM166+'All Summaries'!AM167+'All Summaries'!AM168)</f>
        <v>185876756.11347628</v>
      </c>
      <c r="I4" s="194" t="e">
        <f t="shared" ref="I4:I10" si="3">(H4/$H$10)*100</f>
        <v>#REF!</v>
      </c>
      <c r="J4" s="206">
        <f>E4</f>
        <v>5124207</v>
      </c>
      <c r="K4" s="206">
        <f>SUM('All Summaries'!BJ58+'All Summaries'!BJ60+'All Summaries'!BJ155+'All Summaries'!BJ156+'All Summaries'!BJ157+'All Summaries'!BJ158+'All Summaries'!BJ159+'All Summaries'!BJ160+'All Summaries'!BJ161+'All Summaries'!BJ162+'All Summaries'!BJ163+'All Summaries'!BJ164+'All Summaries'!BJ165+'All Summaries'!BJ166+'All Summaries'!BJ167+'All Summaries'!BJ168)</f>
        <v>5000367</v>
      </c>
      <c r="L4" s="208">
        <f t="shared" si="2"/>
        <v>97.583235806047654</v>
      </c>
    </row>
    <row r="5" spans="1:15" x14ac:dyDescent="0.25">
      <c r="A5" s="175" t="s">
        <v>470</v>
      </c>
      <c r="B5">
        <v>1</v>
      </c>
      <c r="D5" t="s">
        <v>1204</v>
      </c>
      <c r="E5" s="189">
        <f>SUM('All Summaries'!BI62+'All Summaries'!BI63+'All Summaries'!BI64)</f>
        <v>490484</v>
      </c>
      <c r="F5" s="189">
        <f>SUM('All Summaries'!BH62+'All Summaries'!BH63+'All Summaries'!BH64)</f>
        <v>490484</v>
      </c>
      <c r="G5" s="194">
        <f t="shared" si="0"/>
        <v>100</v>
      </c>
      <c r="H5" s="189">
        <f>SUM('All Summaries'!AM62+'All Summaries'!AM63+'All Summaries'!AM64)</f>
        <v>17026911</v>
      </c>
      <c r="I5" s="194" t="e">
        <f t="shared" si="3"/>
        <v>#REF!</v>
      </c>
      <c r="J5" s="206">
        <f t="shared" si="1"/>
        <v>490484</v>
      </c>
      <c r="K5" s="206">
        <f>SUM('All Summaries'!BJ62+'All Summaries'!BJ63+'All Summaries'!BJ64)</f>
        <v>490484</v>
      </c>
      <c r="L5" s="208">
        <f t="shared" si="2"/>
        <v>100</v>
      </c>
    </row>
    <row r="6" spans="1:15" x14ac:dyDescent="0.25">
      <c r="A6" s="175" t="s">
        <v>477</v>
      </c>
      <c r="B6">
        <v>1</v>
      </c>
      <c r="D6" t="s">
        <v>1205</v>
      </c>
      <c r="E6" s="189" t="e">
        <f>SUM('All Summaries'!BI59+'All Summaries'!BI97+'All Summaries'!BI98+'All Summaries'!BI99+'All Summaries'!BI100+'All Summaries'!BI101+'All Summaries'!BI102+'All Summaries'!BI103+'All Summaries'!BI105+'All Summaries'!BI106+'All Summaries'!BI107+'All Summaries'!BI108+'All Summaries'!BI109+'All Summaries'!BI110+'All Summaries'!BI111+'All Summaries'!BI112+'All Summaries'!BI113+'All Summaries'!BI114+'All Summaries'!BI115+'All Summaries'!#REF!+'All Summaries'!BI116+'All Summaries'!BI117+'All Summaries'!BI118+'All Summaries'!BI119+'All Summaries'!BI120+'All Summaries'!BI121+'All Summaries'!BI122+'All Summaries'!BI123+'All Summaries'!BI124+'All Summaries'!BI126+'All Summaries'!BI128+'All Summaries'!BI129+'All Summaries'!BI130+'All Summaries'!BI131)</f>
        <v>#REF!</v>
      </c>
      <c r="F6" s="189" t="e">
        <f>SUM('All Summaries'!BH59+'All Summaries'!BH97+'All Summaries'!BH98+'All Summaries'!BH99+'All Summaries'!BH100+'All Summaries'!BH101+'All Summaries'!BH102+'All Summaries'!BH103+'All Summaries'!BH105+'All Summaries'!BH106+'All Summaries'!BH107+'All Summaries'!BH108+'All Summaries'!BH109+'All Summaries'!BH110+'All Summaries'!BH111+'All Summaries'!BH112+'All Summaries'!BH113+'All Summaries'!BH114+'All Summaries'!BH115+'All Summaries'!#REF!+'All Summaries'!BH116+'All Summaries'!BH117+'All Summaries'!BH118+'All Summaries'!BH119+'All Summaries'!BH120+'All Summaries'!BH121+'All Summaries'!BH122+'All Summaries'!BH123+'All Summaries'!BH124+'All Summaries'!BH126+'All Summaries'!BH128+'All Summaries'!BH129+'All Summaries'!BH130+'All Summaries'!BH131)</f>
        <v>#REF!</v>
      </c>
      <c r="G6" s="194" t="e">
        <f t="shared" si="0"/>
        <v>#REF!</v>
      </c>
      <c r="H6" s="189" t="e">
        <f>SUM('All Summaries'!AM59+'All Summaries'!AM97+'All Summaries'!AM98+'All Summaries'!AM99+'All Summaries'!AM100+'All Summaries'!AM101+'All Summaries'!AM102+'All Summaries'!AM103+'All Summaries'!AM105+'All Summaries'!AM106+'All Summaries'!AM107+'All Summaries'!AM108+'All Summaries'!AM109+'All Summaries'!AM110+'All Summaries'!AM111+'All Summaries'!AM112+'All Summaries'!AM113+'All Summaries'!AM114+'All Summaries'!AM115+'All Summaries'!#REF!+'All Summaries'!AM116+'All Summaries'!AM117+'All Summaries'!AM118+'All Summaries'!AM119+'All Summaries'!AM120+'All Summaries'!AM121+'All Summaries'!AM122+'All Summaries'!AM123+'All Summaries'!AM124+'All Summaries'!AM126+'All Summaries'!AM128+'All Summaries'!AM129+'All Summaries'!AM130+'All Summaries'!AM131)</f>
        <v>#REF!</v>
      </c>
      <c r="I6" s="194" t="e">
        <f t="shared" si="3"/>
        <v>#REF!</v>
      </c>
      <c r="J6" s="206" t="e">
        <f t="shared" si="1"/>
        <v>#REF!</v>
      </c>
      <c r="K6" s="206" t="e">
        <f>SUM('All Summaries'!BJ59+'All Summaries'!BJ97+'All Summaries'!BJ98+'All Summaries'!BJ99+'All Summaries'!BJ100+'All Summaries'!BJ101+'All Summaries'!BJ102+'All Summaries'!BJ103+'All Summaries'!BJ105+'All Summaries'!BJ106+'All Summaries'!BJ107+'All Summaries'!BJ108+'All Summaries'!BJ109+'All Summaries'!BJ110+'All Summaries'!BJ111+'All Summaries'!BJ112+'All Summaries'!BJ113+'All Summaries'!BJ114+'All Summaries'!BJ115+'All Summaries'!#REF!+'All Summaries'!BJ116+'All Summaries'!BJ117+'All Summaries'!BJ118+'All Summaries'!BJ119+'All Summaries'!BJ120+'All Summaries'!BJ121+'All Summaries'!BJ122+'All Summaries'!BJ123+'All Summaries'!BJ124+'All Summaries'!BJ126+'All Summaries'!BJ128+'All Summaries'!BJ129+'All Summaries'!BJ130+'All Summaries'!BJ131)</f>
        <v>#REF!</v>
      </c>
      <c r="L6" s="208" t="e">
        <f t="shared" si="2"/>
        <v>#REF!</v>
      </c>
    </row>
    <row r="7" spans="1:15" x14ac:dyDescent="0.25">
      <c r="A7" s="175" t="s">
        <v>1157</v>
      </c>
      <c r="B7">
        <v>1</v>
      </c>
      <c r="D7" t="s">
        <v>1206</v>
      </c>
      <c r="E7" s="189">
        <f>SUM('All Summaries'!BI74+'All Summaries'!BI86+'All Summaries'!BI89+'All Summaries'!BI90+'All Summaries'!BI92+'All Summaries'!BI127+'All Summaries'!BI132+'All Summaries'!BI133+'All Summaries'!BI134+'All Summaries'!BI135+'All Summaries'!BI136+'All Summaries'!BI137+'All Summaries'!BI138+'All Summaries'!BI139+'All Summaries'!BI140+'All Summaries'!BI141+'All Summaries'!BI142+'All Summaries'!BI143+'All Summaries'!BI144+'All Summaries'!BI145+'All Summaries'!BI146+'All Summaries'!BI147+'All Summaries'!BI148+'All Summaries'!BI149+'All Summaries'!BI150+'All Summaries'!BI151+'All Summaries'!BI152+'All Summaries'!BI153+'All Summaries'!BI154)</f>
        <v>7334598.6699999999</v>
      </c>
      <c r="F7" s="189">
        <f>SUM('All Summaries'!BH74+'All Summaries'!BH86+'All Summaries'!BH89+'All Summaries'!BH90+'All Summaries'!BH92+'All Summaries'!BH127+'All Summaries'!BH132+'All Summaries'!BH133+'All Summaries'!BH134+'All Summaries'!BH135+'All Summaries'!BH136+'All Summaries'!BH137+'All Summaries'!BH138+'All Summaries'!BH139+'All Summaries'!BH140+'All Summaries'!BH141+'All Summaries'!BH142+'All Summaries'!BH143+'All Summaries'!BH144+'All Summaries'!BH145+'All Summaries'!BH146+'All Summaries'!BH147+'All Summaries'!BH148+'All Summaries'!BH149+'All Summaries'!BH150+'All Summaries'!BH151+'All Summaries'!BH152+'All Summaries'!BH153+'All Summaries'!BH154)</f>
        <v>6096611.6699999999</v>
      </c>
      <c r="G7" s="194">
        <f t="shared" si="0"/>
        <v>83.121271446471653</v>
      </c>
      <c r="H7" s="189">
        <f>SUM('All Summaries'!AM74+'All Summaries'!AM86+'All Summaries'!AM89+'All Summaries'!AM90+'All Summaries'!AM92+'All Summaries'!AM127+'All Summaries'!AM132+'All Summaries'!AM133+'All Summaries'!AM134+'All Summaries'!AM135+'All Summaries'!AM136+'All Summaries'!AM137+'All Summaries'!AM138+'All Summaries'!AM139+'All Summaries'!AM140+'All Summaries'!AM141+'All Summaries'!AM142+'All Summaries'!AM143+'All Summaries'!AM144+'All Summaries'!AM145+'All Summaries'!AM146+'All Summaries'!AM147+'All Summaries'!AM148+'All Summaries'!AM149+'All Summaries'!AM150+'All Summaries'!AM151+'All Summaries'!AM152+'All Summaries'!AM153+'All Summaries'!AM154)</f>
        <v>262203135.76999998</v>
      </c>
      <c r="I7" s="194" t="e">
        <f t="shared" si="3"/>
        <v>#REF!</v>
      </c>
      <c r="J7" s="206">
        <f t="shared" si="1"/>
        <v>7334598.6699999999</v>
      </c>
      <c r="K7" s="206">
        <f>SUM('All Summaries'!BJ74+'All Summaries'!BJ86+'All Summaries'!BJ89+'All Summaries'!BJ90+'All Summaries'!BJ92+'All Summaries'!BJ127+'All Summaries'!BJ132+'All Summaries'!BJ133+'All Summaries'!BJ134+'All Summaries'!BJ135+'All Summaries'!BJ136+'All Summaries'!BJ137+'All Summaries'!BJ138+'All Summaries'!BJ139+'All Summaries'!BJ140+'All Summaries'!BJ141+'All Summaries'!BJ142+'All Summaries'!BJ143+'All Summaries'!BJ144+'All Summaries'!BJ145+'All Summaries'!BJ146+'All Summaries'!BJ147+'All Summaries'!BJ148+'All Summaries'!BJ149+'All Summaries'!BJ150+'All Summaries'!BJ151+'All Summaries'!BJ152+'All Summaries'!BJ153+'All Summaries'!BJ154)</f>
        <v>7257496.6899999995</v>
      </c>
      <c r="L7" s="208">
        <f t="shared" si="2"/>
        <v>98.948790745492815</v>
      </c>
    </row>
    <row r="8" spans="1:15" x14ac:dyDescent="0.25">
      <c r="A8" s="175" t="s">
        <v>1200</v>
      </c>
      <c r="B8">
        <v>6</v>
      </c>
      <c r="D8" t="s">
        <v>1207</v>
      </c>
      <c r="E8" s="189">
        <f>SUM('All Summaries'!BI66+'All Summaries'!BI68+'All Summaries'!BI70+'All Summaries'!BI76+'All Summaries'!BI77+'All Summaries'!BI78+'All Summaries'!BI79+'All Summaries'!BI80+'All Summaries'!BI82+'All Summaries'!BI84+'All Summaries'!BI85+'All Summaries'!BI91+'All Summaries'!BI93+'All Summaries'!BI96+'All Summaries'!BI104)</f>
        <v>6736585.0700000003</v>
      </c>
      <c r="F8" s="189">
        <f>SUM('All Summaries'!BH66+'All Summaries'!BH68+'All Summaries'!BH70+'All Summaries'!BH76+'All Summaries'!BH77+'All Summaries'!BH78+'All Summaries'!BH79+'All Summaries'!BH80+'All Summaries'!BH82+'All Summaries'!BH84+'All Summaries'!BH85+'All Summaries'!BH91+'All Summaries'!BH93+'All Summaries'!BH96+'All Summaries'!BH104)</f>
        <v>6078654.0700000003</v>
      </c>
      <c r="G8" s="194">
        <f t="shared" si="0"/>
        <v>90.233464089543517</v>
      </c>
      <c r="H8" s="189">
        <f>SUM('All Summaries'!AM66+'All Summaries'!AM68+'All Summaries'!AM70+'All Summaries'!AM76+'All Summaries'!AM77+'All Summaries'!AM78+'All Summaries'!AM79+'All Summaries'!AM80+'All Summaries'!AM82+'All Summaries'!AM84+'All Summaries'!AM85+'All Summaries'!AM91+'All Summaries'!AM93+'All Summaries'!AM96+'All Summaries'!AM104)</f>
        <v>133517265.87995666</v>
      </c>
      <c r="I8" s="194" t="e">
        <f t="shared" si="3"/>
        <v>#REF!</v>
      </c>
      <c r="J8" s="206">
        <f t="shared" si="1"/>
        <v>6736585.0700000003</v>
      </c>
      <c r="K8" s="206">
        <f>SUM('All Summaries'!BJ66+'All Summaries'!BJ68+'All Summaries'!BJ70+'All Summaries'!BJ76+'All Summaries'!BJ77+'All Summaries'!BJ78+'All Summaries'!BJ79+'All Summaries'!BJ80+'All Summaries'!BJ82+'All Summaries'!BJ84+'All Summaries'!BJ85+'All Summaries'!BJ91+'All Summaries'!BJ93+'All Summaries'!BJ96+'All Summaries'!BJ104)</f>
        <v>6635830.0700000003</v>
      </c>
      <c r="L8" s="208">
        <f t="shared" si="2"/>
        <v>98.504360904626708</v>
      </c>
    </row>
    <row r="9" spans="1:15" x14ac:dyDescent="0.25">
      <c r="A9" s="175" t="s">
        <v>411</v>
      </c>
      <c r="B9">
        <v>14</v>
      </c>
      <c r="D9" t="s">
        <v>1208</v>
      </c>
      <c r="E9" s="189">
        <f>SUM('All Summaries'!BI169+'All Summaries'!BI170+'All Summaries'!BI171+'All Summaries'!BI172+'All Summaries'!BI173+'All Summaries'!BI174+'All Summaries'!BI175)</f>
        <v>3021792</v>
      </c>
      <c r="F9" s="189">
        <f>SUM('All Summaries'!BH169+'All Summaries'!BH170+'All Summaries'!BH171+'All Summaries'!BH172+'All Summaries'!BH173+'All Summaries'!BH174+'All Summaries'!BH175)</f>
        <v>3021792</v>
      </c>
      <c r="G9" s="194">
        <f t="shared" ref="G9" si="4">(F9/E9)*100</f>
        <v>100</v>
      </c>
      <c r="H9" s="189">
        <f>SUM('All Summaries'!AM169+'All Summaries'!AM170+'All Summaries'!AM171+'All Summaries'!AM172+'All Summaries'!AM173+'All Summaries'!AM174+'All Summaries'!AM175)</f>
        <v>87244301.928658202</v>
      </c>
      <c r="I9" s="194" t="e">
        <f t="shared" si="3"/>
        <v>#REF!</v>
      </c>
      <c r="J9" s="206">
        <f t="shared" si="1"/>
        <v>3021792</v>
      </c>
      <c r="K9" s="206">
        <f>SUM('All Summaries'!BJ169+'All Summaries'!BJ170+'All Summaries'!BJ171+'All Summaries'!BJ172+'All Summaries'!BJ173+'All Summaries'!BJ174+'All Summaries'!BJ175)</f>
        <v>3021792</v>
      </c>
      <c r="L9" s="208">
        <f t="shared" si="2"/>
        <v>100</v>
      </c>
    </row>
    <row r="10" spans="1:15" x14ac:dyDescent="0.25">
      <c r="A10" s="175" t="s">
        <v>483</v>
      </c>
      <c r="B10">
        <v>2</v>
      </c>
      <c r="D10" s="192" t="s">
        <v>571</v>
      </c>
      <c r="E10" s="193" t="e">
        <f>SUM(E2:E9)</f>
        <v>#REF!</v>
      </c>
      <c r="F10" s="193" t="e">
        <f>SUM(F2:F9)</f>
        <v>#REF!</v>
      </c>
      <c r="G10" s="195" t="e">
        <f>(F10/E10)*100</f>
        <v>#REF!</v>
      </c>
      <c r="H10" s="193" t="e">
        <f>SUM(H2:H9)</f>
        <v>#REF!</v>
      </c>
      <c r="I10" s="194" t="e">
        <f t="shared" si="3"/>
        <v>#REF!</v>
      </c>
      <c r="J10" s="207" t="e">
        <f>E10</f>
        <v>#REF!</v>
      </c>
      <c r="K10" s="207" t="e">
        <f>SUM(K2:K9)</f>
        <v>#REF!</v>
      </c>
      <c r="L10" s="208" t="e">
        <f t="shared" si="2"/>
        <v>#REF!</v>
      </c>
    </row>
    <row r="11" spans="1:15" x14ac:dyDescent="0.25">
      <c r="A11" s="175" t="s">
        <v>1113</v>
      </c>
      <c r="B11">
        <v>4</v>
      </c>
    </row>
    <row r="12" spans="1:15" ht="14.45" hidden="1" x14ac:dyDescent="0.35">
      <c r="A12" s="175" t="s">
        <v>279</v>
      </c>
      <c r="B12">
        <v>4</v>
      </c>
      <c r="D12" t="s">
        <v>1201</v>
      </c>
      <c r="J12" s="247">
        <v>14305166</v>
      </c>
      <c r="K12" s="189">
        <f>SUM('All Summaries'!BJ2+'All Summaries'!BJ3+'All Summaries'!BJ4+'All Summaries'!BJ5+'All Summaries'!BJ6+'All Summaries'!BJ7+'All Summaries'!BJ9+'All Summaries'!BJ10+'All Summaries'!BJ11+'All Summaries'!BJ12+'All Summaries'!BJ13+'All Summaries'!BJ14+'All Summaries'!BJ16+'All Summaries'!BJ17+'All Summaries'!BJ18+'All Summaries'!BJ20+'All Summaries'!BJ21+'All Summaries'!BJ22+'All Summaries'!BJ23+'All Summaries'!BJ24+'All Summaries'!BJ25+'All Summaries'!BJ26+'All Summaries'!BJ27+'All Summaries'!BJ30+'All Summaries'!BJ31+'All Summaries'!BJ36+'All Summaries'!BJ37+'All Summaries'!BJ38+'All Summaries'!BJ39+'All Summaries'!BJ40+'All Summaries'!BJ41+'All Summaries'!BJ42+'All Summaries'!BJ43+'All Summaries'!BJ44+'All Summaries'!BJ45+'All Summaries'!BJ47+'All Summaries'!BJ48+'All Summaries'!BJ49+'All Summaries'!BJ50+'All Summaries'!BJ51+'All Summaries'!BJ52+'All Summaries'!BJ53+'All Summaries'!BJ54+'All Summaries'!BJ56+'All Summaries'!BJ65)</f>
        <v>12653284</v>
      </c>
      <c r="L12" s="208">
        <f>(K12/J12)*100</f>
        <v>88.452549239903959</v>
      </c>
    </row>
    <row r="13" spans="1:15" ht="14.45" hidden="1" x14ac:dyDescent="0.35">
      <c r="A13" s="175" t="s">
        <v>1118</v>
      </c>
      <c r="B13">
        <v>1</v>
      </c>
      <c r="D13" t="s">
        <v>1202</v>
      </c>
      <c r="J13" s="247">
        <v>3869387.33</v>
      </c>
      <c r="K13" s="189">
        <f>SUM('All Summaries'!BJ61+'All Summaries'!BJ67+'All Summaries'!BJ69+'All Summaries'!BJ72+'All Summaries'!BJ73+'All Summaries'!BJ75+'All Summaries'!BJ81+'All Summaries'!BJ83+'All Summaries'!BJ87+'All Summaries'!BJ88+'All Summaries'!BJ95+'All Summaries'!BJ125)</f>
        <v>3742926.33</v>
      </c>
      <c r="L13" s="208">
        <f t="shared" ref="L13:L20" si="5">(K13/J13)*100</f>
        <v>96.731756497481484</v>
      </c>
    </row>
    <row r="14" spans="1:15" ht="14.45" hidden="1" x14ac:dyDescent="0.35">
      <c r="A14" s="175" t="s">
        <v>805</v>
      </c>
      <c r="B14">
        <v>1</v>
      </c>
      <c r="D14" t="s">
        <v>1224</v>
      </c>
      <c r="J14" s="247">
        <v>5124207</v>
      </c>
      <c r="K14" s="189">
        <f>SUM('All Summaries'!BJ58+'All Summaries'!BJ60+'All Summaries'!BJ156+'All Summaries'!BJ157+'All Summaries'!BJ158+'All Summaries'!BJ159+'All Summaries'!BJ160+'All Summaries'!BJ161+'All Summaries'!BJ162+'All Summaries'!BJ163+'All Summaries'!BJ165+'All Summaries'!BJ166+'All Summaries'!BJ167+'All Summaries'!BJ168)</f>
        <v>4872260</v>
      </c>
      <c r="L14" s="208">
        <f t="shared" si="5"/>
        <v>95.08320019078073</v>
      </c>
    </row>
    <row r="15" spans="1:15" ht="14.45" hidden="1" x14ac:dyDescent="0.35">
      <c r="A15" s="175" t="s">
        <v>435</v>
      </c>
      <c r="B15">
        <v>3</v>
      </c>
      <c r="D15" t="s">
        <v>1204</v>
      </c>
      <c r="J15" s="247">
        <v>490484</v>
      </c>
      <c r="K15" s="189">
        <f>SUM('All Summaries'!BJ62+'All Summaries'!BJ63+'All Summaries'!BJ64)</f>
        <v>490484</v>
      </c>
      <c r="L15" s="208">
        <f t="shared" si="5"/>
        <v>100</v>
      </c>
    </row>
    <row r="16" spans="1:15" ht="14.45" hidden="1" x14ac:dyDescent="0.35">
      <c r="A16" s="175" t="s">
        <v>1120</v>
      </c>
      <c r="B16">
        <v>1</v>
      </c>
      <c r="D16" t="s">
        <v>1205</v>
      </c>
      <c r="J16" s="247">
        <v>18201412</v>
      </c>
      <c r="K16" s="189" t="e">
        <f>SUM('All Summaries'!BJ97+'All Summaries'!BJ98+'All Summaries'!BJ99+'All Summaries'!BJ100+'All Summaries'!BJ101+'All Summaries'!BJ102+'All Summaries'!BJ103+'All Summaries'!BJ105+'All Summaries'!BJ106+'All Summaries'!BJ107+'All Summaries'!BJ108+'All Summaries'!BJ109+'All Summaries'!BJ110+'All Summaries'!BJ113+'All Summaries'!BJ114+'All Summaries'!BJ115+'All Summaries'!#REF!+'All Summaries'!BJ116+'All Summaries'!BJ117+'All Summaries'!BJ118+'All Summaries'!BJ119+'All Summaries'!BJ120+'All Summaries'!BJ121+'All Summaries'!BJ122+'All Summaries'!BJ123+'All Summaries'!BJ124+'All Summaries'!BJ126+'All Summaries'!BJ128+'All Summaries'!BJ129+'All Summaries'!BJ130+'All Summaries'!BJ131)</f>
        <v>#REF!</v>
      </c>
      <c r="L16" s="208" t="e">
        <f t="shared" si="5"/>
        <v>#REF!</v>
      </c>
    </row>
    <row r="17" spans="1:15" ht="14.45" hidden="1" x14ac:dyDescent="0.35">
      <c r="A17" s="175" t="s">
        <v>1121</v>
      </c>
      <c r="B17">
        <v>2</v>
      </c>
      <c r="D17" t="s">
        <v>1206</v>
      </c>
      <c r="J17" s="247">
        <v>7334598.6699999999</v>
      </c>
      <c r="K17" s="189">
        <f>SUM('All Summaries'!BJ74+'All Summaries'!BJ89+'All Summaries'!BJ90+'All Summaries'!BJ92+'All Summaries'!BJ127+'All Summaries'!BJ132+'All Summaries'!BJ133+'All Summaries'!BJ134+'All Summaries'!BJ135+'All Summaries'!BJ136+'All Summaries'!BJ137+'All Summaries'!BJ138+'All Summaries'!BJ139+'All Summaries'!BJ140+'All Summaries'!BJ141+'All Summaries'!BJ142+'All Summaries'!BJ143+'All Summaries'!BJ144+'All Summaries'!BJ145+'All Summaries'!BJ146+'All Summaries'!BJ147+'All Summaries'!BJ148+'All Summaries'!BJ149+'All Summaries'!BJ150+'All Summaries'!BJ151+'All Summaries'!BJ152+'All Summaries'!BJ153)</f>
        <v>7199952.6899999995</v>
      </c>
      <c r="L17" s="208">
        <f t="shared" si="5"/>
        <v>98.164235208250318</v>
      </c>
    </row>
    <row r="18" spans="1:15" ht="14.45" hidden="1" x14ac:dyDescent="0.35">
      <c r="A18" s="175" t="s">
        <v>1146</v>
      </c>
      <c r="B18">
        <v>1</v>
      </c>
      <c r="D18" t="s">
        <v>1207</v>
      </c>
      <c r="J18" s="247">
        <v>6736585.0700000003</v>
      </c>
      <c r="K18" s="189">
        <f>SUM('All Summaries'!BJ66+'All Summaries'!BJ68+'All Summaries'!BJ70+'All Summaries'!BJ76+'All Summaries'!BJ77+'All Summaries'!BJ78+'All Summaries'!BJ79+'All Summaries'!BJ80++'All Summaries'!BJ84+'All Summaries'!BJ85+'All Summaries'!BJ91+'All Summaries'!BJ93+'All Summaries'!BJ104)</f>
        <v>6496060</v>
      </c>
      <c r="L18" s="208">
        <f t="shared" si="5"/>
        <v>96.42956976716394</v>
      </c>
    </row>
    <row r="19" spans="1:15" ht="14.45" hidden="1" x14ac:dyDescent="0.35">
      <c r="A19" s="175" t="s">
        <v>1119</v>
      </c>
      <c r="B19">
        <v>1</v>
      </c>
      <c r="D19" t="s">
        <v>1208</v>
      </c>
      <c r="J19" s="247">
        <v>3021792</v>
      </c>
      <c r="K19" s="189">
        <f>SUM('All Summaries'!BJ169+'All Summaries'!BJ170+'All Summaries'!BJ171+'All Summaries'!BJ172+'All Summaries'!BJ173+'All Summaries'!BJ174+'All Summaries'!BJ175)</f>
        <v>3021792</v>
      </c>
      <c r="L19" s="208">
        <f t="shared" si="5"/>
        <v>100</v>
      </c>
    </row>
    <row r="20" spans="1:15" ht="14.45" hidden="1" x14ac:dyDescent="0.35">
      <c r="A20" s="175" t="s">
        <v>1165</v>
      </c>
      <c r="B20">
        <v>1</v>
      </c>
      <c r="D20" s="192" t="s">
        <v>571</v>
      </c>
      <c r="J20" s="247">
        <v>59083632.07</v>
      </c>
      <c r="K20" s="189" t="e">
        <f>SUM(K12:K19)</f>
        <v>#REF!</v>
      </c>
      <c r="L20" s="208" t="e">
        <f t="shared" si="5"/>
        <v>#REF!</v>
      </c>
    </row>
    <row r="21" spans="1:15" x14ac:dyDescent="0.25">
      <c r="A21" s="175" t="s">
        <v>1117</v>
      </c>
      <c r="B21">
        <v>1</v>
      </c>
    </row>
    <row r="22" spans="1:15" ht="105" x14ac:dyDescent="0.25">
      <c r="A22" s="175" t="s">
        <v>761</v>
      </c>
      <c r="B22">
        <v>2</v>
      </c>
      <c r="D22" s="512">
        <v>42239</v>
      </c>
      <c r="E22" s="511" t="s">
        <v>1266</v>
      </c>
      <c r="F22" s="192" t="s">
        <v>1268</v>
      </c>
      <c r="G22" s="511" t="s">
        <v>1521</v>
      </c>
      <c r="H22" s="511" t="s">
        <v>1267</v>
      </c>
      <c r="I22" s="511" t="s">
        <v>1315</v>
      </c>
      <c r="J22" s="511"/>
      <c r="K22" s="511" t="s">
        <v>1519</v>
      </c>
      <c r="L22" s="511" t="s">
        <v>1520</v>
      </c>
      <c r="M22" s="192" t="s">
        <v>1522</v>
      </c>
      <c r="N22" s="192" t="s">
        <v>189</v>
      </c>
      <c r="O22" s="192" t="s">
        <v>111</v>
      </c>
    </row>
    <row r="23" spans="1:15" x14ac:dyDescent="0.25">
      <c r="A23" s="175" t="s">
        <v>52</v>
      </c>
      <c r="B23">
        <v>6</v>
      </c>
      <c r="D23" t="s">
        <v>1201</v>
      </c>
      <c r="E23" s="189">
        <f>SUM('All Summaries'!AM2:AM57,'All Summaries'!AM65)</f>
        <v>583103724.58999991</v>
      </c>
      <c r="F23" s="208" t="e">
        <f>(E23/$E31)*100</f>
        <v>#REF!</v>
      </c>
      <c r="G23" s="189">
        <f>SUM('All Summaries'!BH2:BH57,'All Summaries'!BH65)</f>
        <v>13211654</v>
      </c>
      <c r="H23" s="189">
        <f>SUM('All Summaries'!BI2:BI57,'All Summaries'!BI65)</f>
        <v>14305166</v>
      </c>
      <c r="I23" s="574">
        <f>SUM('All Summaries'!BJ2,'All Summaries'!BJ3,'All Summaries'!BJ4,'All Summaries'!BJ5,'All Summaries'!BJ6,'All Summaries'!BJ7,'All Summaries'!BJ8,'All Summaries'!BJ9,'All Summaries'!BJ10,'All Summaries'!BJ11,'All Summaries'!BJ12,'All Summaries'!BJ13,'All Summaries'!BJ14,'All Summaries'!BJ15,'All Summaries'!BJ16,'All Summaries'!BJ17,'All Summaries'!BJ18,'All Summaries'!BJ19,'All Summaries'!BJ20,'All Summaries'!BJ21,'All Summaries'!BJ22,'All Summaries'!BJ23,'All Summaries'!BJ24,'All Summaries'!BJ25,'All Summaries'!BJ26,'All Summaries'!BJ27,'All Summaries'!BJ28,'All Summaries'!BJ29,'All Summaries'!BJ30,'All Summaries'!BJ31,'All Summaries'!BJ32,'All Summaries'!BJ33,'All Summaries'!BJ34,'All Summaries'!BJ35,'All Summaries'!BJ36,'All Summaries'!BJ37,'All Summaries'!BJ38,'All Summaries'!BJ39,'All Summaries'!BJ40,'All Summaries'!BJ41,'All Summaries'!BJ42,'All Summaries'!BJ43,'All Summaries'!BJ44,'All Summaries'!BJ45,'All Summaries'!BJ46,'All Summaries'!BJ47,'All Summaries'!BJ48,'All Summaries'!BJ49,'All Summaries'!BJ50,'All Summaries'!BJ51,'All Summaries'!BJ52,'All Summaries'!BJ53,'All Summaries'!BJ54,'All Summaries'!BJ55,'All Summaries'!BJ56,'All Summaries'!BJ57,'All Summaries'!BJ65)</f>
        <v>13546906</v>
      </c>
      <c r="J23" s="208">
        <f>(I23/H23)*100</f>
        <v>94.699397406503365</v>
      </c>
      <c r="K23" s="673">
        <f>SUM('All Summaries'!AP2:AP57,'All Summaries'!AP65)</f>
        <v>1209514</v>
      </c>
      <c r="L23" s="208">
        <f>(K23/H23)*100</f>
        <v>8.4550853866358491</v>
      </c>
      <c r="M23" s="208">
        <f>(G23/H23)*100</f>
        <v>92.355824462295644</v>
      </c>
      <c r="N23" s="249">
        <f>SUM('All Summaries'!Z4+'All Summaries'!Z5+'All Summaries'!Z7+'All Summaries'!Z12+'All Summaries'!Z13+'All Summaries'!Z14+'All Summaries'!Z15+'All Summaries'!Z18+'All Summaries'!Z20+'All Summaries'!Z21+'All Summaries'!Z23+'All Summaries'!Z24+'All Summaries'!Z25+'All Summaries'!Z26+'All Summaries'!Z27++'All Summaries'!Z28+'All Summaries'!Z29+'All Summaries'!Z30+'All Summaries'!Z31+'All Summaries'!Z32+'All Summaries'!Z33+'All Summaries'!Z34+'All Summaries'!Z35+'All Summaries'!Z36+'All Summaries'!Z37+'All Summaries'!Z38+'All Summaries'!Z39+'All Summaries'!Z40+'All Summaries'!Z41+'All Summaries'!Z42+'All Summaries'!Z43+'All Summaries'!Z44+'All Summaries'!Z45+'All Summaries'!Z46+'All Summaries'!Z47+'All Summaries'!Z52+'All Summaries'!Z53+'All Summaries'!Z54+'All Summaries'!Z55+'All Summaries'!Z56+'All Summaries'!Z57)</f>
        <v>95700</v>
      </c>
      <c r="O23" s="249">
        <f>SUM('All Summaries'!Z2+'All Summaries'!Z3+'All Summaries'!Z6+'All Summaries'!Z17+'All Summaries'!Z19+'All Summaries'!Z22+'All Summaries'!Z48+'All Summaries'!Z49+'All Summaries'!Z50+'All Summaries'!Z51+'All Summaries'!Z65)</f>
        <v>71764</v>
      </c>
    </row>
    <row r="24" spans="1:15" x14ac:dyDescent="0.25">
      <c r="A24" s="175" t="s">
        <v>88</v>
      </c>
      <c r="B24">
        <v>1</v>
      </c>
      <c r="D24" t="s">
        <v>1202</v>
      </c>
      <c r="E24" s="189">
        <f>SUM('All Summaries'!AM61+'All Summaries'!AM67+'All Summaries'!AM72+'All Summaries'!AM73+'All Summaries'!AM75+'All Summaries'!AM81+'All Summaries'!AM82+'All Summaries'!AM83+'All Summaries'!AM87+'All Summaries'!AM88+'All Summaries'!AM94+'All Summaries'!AM95+'All Summaries'!AM122+'All Summaries'!AM125)</f>
        <v>132698629.76842923</v>
      </c>
      <c r="F24" s="208" t="e">
        <f>(E24/$E31)*100</f>
        <v>#REF!</v>
      </c>
      <c r="G24" s="189">
        <f>SUM('All Summaries'!BH61,'All Summaries'!BH67,'All Summaries'!BH72,'All Summaries'!BH73,'All Summaries'!BH75,'All Summaries'!BH81,'All Summaries'!BH82,'All Summaries'!BH83,'All Summaries'!BH87,'All Summaries'!BH88,'All Summaries'!BH94,'All Summaries'!BH95,'All Summaries'!BH122,'All Summaries'!BH125)</f>
        <v>4066317.33</v>
      </c>
      <c r="H24" s="189">
        <f>SUM('All Summaries'!BI67+'All Summaries'!BI72+'All Summaries'!BI73+'All Summaries'!BI75+'All Summaries'!BI81+'All Summaries'!BI82+'All Summaries'!BI83+'All Summaries'!BI87+'All Summaries'!BI88+'All Summaries'!BI94+'All Summaries'!BI95+'All Summaries'!BI122+'All Summaries'!BI125)</f>
        <v>4338349.33</v>
      </c>
      <c r="I24" s="574">
        <f>SUM('All Summaries'!BJ61,'All Summaries'!BJ67,'All Summaries'!BJ72,'All Summaries'!BJ73,'All Summaries'!BJ75,'All Summaries'!BJ81,'All Summaries'!BJ82,'All Summaries'!BJ83,'All Summaries'!BJ87,'All Summaries'!BJ88,'All Summaries'!BJ94,'All Summaries'!BJ95,'All Summaries'!BJ122,'All Summaries'!BJ125)</f>
        <v>4302054.33</v>
      </c>
      <c r="J24" s="208">
        <f t="shared" ref="J24:J31" si="6">(I24/H24)*100</f>
        <v>99.163391482815427</v>
      </c>
      <c r="K24" s="673">
        <f>SUM('All Summaries'!AP61,'All Summaries'!AP67,'All Summaries'!AP72,'All Summaries'!AP73,'All Summaries'!AP75,'All Summaries'!AP81,'All Summaries'!AP82,'All Summaries'!AP83,'All Summaries'!AP87,'All Summaries'!AP88,'All Summaries'!AP94,'All Summaries'!AP95,'All Summaries'!AP122,'All Summaries'!AP125)</f>
        <v>352870</v>
      </c>
      <c r="L24" s="208">
        <f t="shared" ref="L24:L31" si="7">(K24/H24)*100</f>
        <v>8.1337387369864018</v>
      </c>
      <c r="M24" s="208">
        <f t="shared" ref="M24:M31" si="8">(G24/H24)*100</f>
        <v>93.729596689716089</v>
      </c>
      <c r="N24" s="250">
        <f>SUM('All Summaries'!Z61+'All Summaries'!Z67++'All Summaries'!Z72+'All Summaries'!Z73+'All Summaries'!Z75+'All Summaries'!Z81+'All Summaries'!Z82+'All Summaries'!Z83+'All Summaries'!Z87+'All Summaries'!Z88+'All Summaries'!Z94+'All Summaries'!Z95+'All Summaries'!Z122+'All Summaries'!Z125)</f>
        <v>161958</v>
      </c>
      <c r="O24">
        <v>0</v>
      </c>
    </row>
    <row r="25" spans="1:15" x14ac:dyDescent="0.25">
      <c r="A25" s="175" t="s">
        <v>1153</v>
      </c>
      <c r="B25">
        <v>2</v>
      </c>
      <c r="D25" t="s">
        <v>1256</v>
      </c>
      <c r="E25" s="189">
        <f>SUM('All Summaries'!AM58+'All Summaries'!AM60+'All Summaries'!AM155+'All Summaries'!AM156+'All Summaries'!AM157+'All Summaries'!AM158+'All Summaries'!AM159+'All Summaries'!AM160+'All Summaries'!AM161+'All Summaries'!AM162+'All Summaries'!AM163+'All Summaries'!AM164+'All Summaries'!AM165+'All Summaries'!AM166+'All Summaries'!AM167+'All Summaries'!AM168)</f>
        <v>185876756.11347628</v>
      </c>
      <c r="F25" s="208" t="e">
        <f>(E25/E31)*100</f>
        <v>#REF!</v>
      </c>
      <c r="G25" s="189">
        <f>SUM('All Summaries'!BH58,'All Summaries'!BH60,'All Summaries'!BH155,'All Summaries'!BH156,'All Summaries'!BH157,'All Summaries'!BH158,'All Summaries'!BH159,'All Summaries'!BH160,'All Summaries'!BH161,'All Summaries'!BH162,'All Summaries'!BH163,'All Summaries'!BH164,'All Summaries'!BH165,'All Summaries'!BH166,'All Summaries'!BH167,'All Summaries'!BH168)</f>
        <v>4825365</v>
      </c>
      <c r="H25" s="189">
        <f>SUM('All Summaries'!BI58+'All Summaries'!BI60+'All Summaries'!BI155+'All Summaries'!BI156+'All Summaries'!BI157+'All Summaries'!BI158+'All Summaries'!BI159+'All Summaries'!BI160+'All Summaries'!BI161+'All Summaries'!BI162+'All Summaries'!BI163+'All Summaries'!BI164+'All Summaries'!BI165+'All Summaries'!BI166+'All Summaries'!BI167+'All Summaries'!BI168)</f>
        <v>5124207</v>
      </c>
      <c r="I25" s="574">
        <f>SUM('All Summaries'!BJ58,'All Summaries'!BJ60,'All Summaries'!BJ155,'All Summaries'!BJ156,'All Summaries'!BJ157,'All Summaries'!BJ158,'All Summaries'!BJ159,'All Summaries'!BJ160,'All Summaries'!BJ161,'All Summaries'!BJ162,'All Summaries'!BJ163,'All Summaries'!BJ164,'All Summaries'!BJ165,'All Summaries'!BJ166,'All Summaries'!BJ167,'All Summaries'!BJ168)</f>
        <v>5000367</v>
      </c>
      <c r="J25" s="208">
        <f t="shared" si="6"/>
        <v>97.583235806047654</v>
      </c>
      <c r="K25" s="673">
        <f>SUM('All Summaries'!AP58,'All Summaries'!AP60,'All Summaries'!AP155,'All Summaries'!AP156,'All Summaries'!AP157,'All Summaries'!AP158,'All Summaries'!BH160,'All Summaries'!AP161,'All Summaries'!AP162,'All Summaries'!AP163,'All Summaries'!AP164,,'All Summaries'!AP165,'All Summaries'!AP166,'All Summaries'!AP167,'All Summaries'!AP168)</f>
        <v>194559</v>
      </c>
      <c r="L25" s="208">
        <f t="shared" si="7"/>
        <v>3.7968606654649197</v>
      </c>
      <c r="M25" s="208">
        <f t="shared" si="8"/>
        <v>94.168034195339885</v>
      </c>
      <c r="N25" s="249">
        <f>SUM('All Summaries'!Z155+'All Summaries'!Z156+'All Summaries'!Z157+'All Summaries'!Z158+'All Summaries'!Z159+'All Summaries'!Z160+'All Summaries'!Z161+'All Summaries'!Z162+'All Summaries'!Z163+'All Summaries'!Z164+'All Summaries'!Z165+'All Summaries'!Z166+'All Summaries'!Z167+'All Summaries'!Z168)</f>
        <v>100827</v>
      </c>
      <c r="O25" s="249">
        <f>SUM('All Summaries'!Z58+'All Summaries'!Z60)</f>
        <v>393960</v>
      </c>
    </row>
    <row r="26" spans="1:15" x14ac:dyDescent="0.25">
      <c r="A26" s="175" t="s">
        <v>789</v>
      </c>
      <c r="B26">
        <v>13</v>
      </c>
      <c r="D26" t="s">
        <v>1204</v>
      </c>
      <c r="E26" s="189">
        <f>SUM('All Summaries'!AM62+'All Summaries'!AM63+'All Summaries'!AM64)</f>
        <v>17026911</v>
      </c>
      <c r="F26" s="208" t="e">
        <f>(E26/E31)*100</f>
        <v>#REF!</v>
      </c>
      <c r="G26" s="189">
        <f>SUM('All Summaries'!BH62,'All Summaries'!BH63,'All Summaries'!BH64)</f>
        <v>490484</v>
      </c>
      <c r="H26" s="189">
        <f>SUM('All Summaries'!BI62+'All Summaries'!BI63+'All Summaries'!BI64)</f>
        <v>490484</v>
      </c>
      <c r="I26" s="574">
        <f>SUM('All Summaries'!BJ62,'All Summaries'!BJ63,'All Summaries'!BJ64)</f>
        <v>490484</v>
      </c>
      <c r="J26" s="208">
        <f t="shared" si="6"/>
        <v>100</v>
      </c>
      <c r="K26" s="673">
        <f>SUM('All Summaries'!AP62,'All Summaries'!AP63,'All Summaries'!AP64)</f>
        <v>0</v>
      </c>
      <c r="L26" s="208">
        <f t="shared" si="7"/>
        <v>0</v>
      </c>
      <c r="M26" s="208">
        <f t="shared" si="8"/>
        <v>100</v>
      </c>
      <c r="N26" s="249">
        <f>SUM('All Summaries'!Z62+'All Summaries'!Z64)</f>
        <v>9200</v>
      </c>
      <c r="O26" s="249">
        <f>SUM('All Summaries'!Z63)</f>
        <v>1800</v>
      </c>
    </row>
    <row r="27" spans="1:15" x14ac:dyDescent="0.25">
      <c r="A27" s="175" t="s">
        <v>772</v>
      </c>
      <c r="B27">
        <v>2</v>
      </c>
      <c r="D27" t="s">
        <v>1205</v>
      </c>
      <c r="E27" s="189" t="e">
        <f>SUM('All Summaries'!AM59+'All Summaries'!AM91+'All Summaries'!AM97+'All Summaries'!AM98+'All Summaries'!AM99+'All Summaries'!AM100+'All Summaries'!AM101+'All Summaries'!AM102+'All Summaries'!AM103+'All Summaries'!AM104+'All Summaries'!AM105+'All Summaries'!AM106+'All Summaries'!AM107+'All Summaries'!AM108+'All Summaries'!AM110+'All Summaries'!AM111+'All Summaries'!AM112+'All Summaries'!AM113+'All Summaries'!AM114+'All Summaries'!AM115+'All Summaries'!#REF!+'All Summaries'!AM116+'All Summaries'!AM117+'All Summaries'!AM118+'All Summaries'!AM119+'All Summaries'!AM120+'All Summaries'!AM121+'All Summaries'!AM123+'All Summaries'!AM124+'All Summaries'!AM126+'All Summaries'!AM128+'All Summaries'!AM129+'All Summaries'!AM130+'All Summaries'!AM131)</f>
        <v>#REF!</v>
      </c>
      <c r="F27" s="208" t="e">
        <f>(E27/E31)*100</f>
        <v>#REF!</v>
      </c>
      <c r="G27" s="189" t="e">
        <f>SUM('All Summaries'!BH59,'All Summaries'!BH91,'All Summaries'!BH97,'All Summaries'!BH98,'All Summaries'!BH99,'All Summaries'!BH100,'All Summaries'!BH101,'All Summaries'!BH102,'All Summaries'!BH103,'All Summaries'!BH104,'All Summaries'!BH105,'All Summaries'!BH106,'All Summaries'!BH107,'All Summaries'!BH108,'All Summaries'!BH110,'All Summaries'!BH111,'All Summaries'!BH112,'All Summaries'!BH113,'All Summaries'!BH114,'All Summaries'!BH115,'All Summaries'!#REF!,'All Summaries'!BH116,'All Summaries'!BH117,'All Summaries'!BH118,'All Summaries'!BH119,'All Summaries'!BH120,'All Summaries'!BH121,'All Summaries'!BH123,'All Summaries'!BH124,'All Summaries'!BH126,'All Summaries'!BH128,'All Summaries'!BH129,'All Summaries'!BH130,'All Summaries'!BH131)</f>
        <v>#REF!</v>
      </c>
      <c r="H27" s="189" t="e">
        <f>SUM('All Summaries'!BI91+'All Summaries'!BI97+'All Summaries'!BI98+'All Summaries'!BI99+'All Summaries'!BI100+'All Summaries'!BI101+'All Summaries'!BI102+'All Summaries'!BI103+'All Summaries'!BI104+'All Summaries'!BI105+'All Summaries'!BI106+'All Summaries'!BI107+'All Summaries'!BI108+'All Summaries'!BI110+'All Summaries'!BI111+'All Summaries'!BI112+'All Summaries'!BI113+'All Summaries'!BI114+'All Summaries'!BI115+'All Summaries'!#REF!+'All Summaries'!BI116+'All Summaries'!BI117+'All Summaries'!BI118+'All Summaries'!BI119+'All Summaries'!BI120+'All Summaries'!BI121+'All Summaries'!BI123+'All Summaries'!BI124+'All Summaries'!BI126+'All Summaries'!BI128+'All Summaries'!BI129+'All Summaries'!BI130+'All Summaries'!BI131)</f>
        <v>#REF!</v>
      </c>
      <c r="I27" s="574" t="e">
        <f>SUM('All Summaries'!BJ59,'All Summaries'!BJ91,'All Summaries'!BJ97,'All Summaries'!BJ98,'All Summaries'!BJ99,'All Summaries'!BJ100,'All Summaries'!BJ101,'All Summaries'!BJ102,'All Summaries'!BJ103,'All Summaries'!BJ104,'All Summaries'!BJ105,'All Summaries'!BJ106,'All Summaries'!BJ107,'All Summaries'!BJ108,'All Summaries'!BJ110,'All Summaries'!BJ111,'All Summaries'!BJ112,'All Summaries'!BJ113,'All Summaries'!BJ114,'All Summaries'!BJ115,'All Summaries'!#REF!,'All Summaries'!BJ116,'All Summaries'!BJ117,'All Summaries'!BJ118,'All Summaries'!BJ119,'All Summaries'!BJ120,'All Summaries'!BJ121,'All Summaries'!BJ123,'All Summaries'!BJ124,'All Summaries'!BJ126,'All Summaries'!BJ128,'All Summaries'!BJ129,'All Summaries'!BJ130,'All Summaries'!BJ131)</f>
        <v>#REF!</v>
      </c>
      <c r="J27" s="208" t="e">
        <f t="shared" si="6"/>
        <v>#REF!</v>
      </c>
      <c r="K27" s="673" t="e">
        <f>SUM('All Summaries'!AP59,'All Summaries'!AP91,'All Summaries'!AP97,'All Summaries'!AP98,'All Summaries'!AP99,'All Summaries'!AP100,'All Summaries'!BH101,'All Summaries'!AP102,'All Summaries'!AP103,'All Summaries'!AP104,'All Summaries'!AP105,'All Summaries'!AP106,'All Summaries'!AP107,'All Summaries'!AP108,'All Summaries'!AP110,'All Summaries'!AP111,'All Summaries'!AP112,'All Summaries'!AP113,'All Summaries'!AP114,'All Summaries'!AP115,'All Summaries'!#REF!,'All Summaries'!AP116,'All Summaries'!AP117,'All Summaries'!AP118,'All Summaries'!AP119,'All Summaries'!AP120,'All Summaries'!AP121,'All Summaries'!AP123,'All Summaries'!AP124,'All Summaries'!AP126,'All Summaries'!AP128,'All Summaries'!AP129,'All Summaries'!AP130,'All Summaries'!AP131)</f>
        <v>#REF!</v>
      </c>
      <c r="L27" s="208" t="e">
        <f t="shared" si="7"/>
        <v>#REF!</v>
      </c>
      <c r="M27" s="208" t="e">
        <f t="shared" si="8"/>
        <v>#REF!</v>
      </c>
      <c r="N27" s="250" t="e">
        <f>SUM('All Summaries'!Z59+'All Summaries'!Z91+'All Summaries'!Z102+'All Summaries'!Z115+'All Summaries'!#REF!+'All Summaries'!Z131)</f>
        <v>#REF!</v>
      </c>
      <c r="O27" s="250">
        <f>SUM('All Summaries'!Z116+'All Summaries'!Z117+'All Summaries'!Z118+'All Summaries'!Z119+'All Summaries'!Z120+'All Summaries'!Z121+'All Summaries'!Z123+'All Summaries'!Z124+'All Summaries'!Z126+'All Summaries'!Z128+'All Summaries'!Z129+'All Summaries'!Z130)</f>
        <v>1022981</v>
      </c>
    </row>
    <row r="28" spans="1:15" x14ac:dyDescent="0.25">
      <c r="A28" s="175" t="s">
        <v>1163</v>
      </c>
      <c r="B28">
        <v>1</v>
      </c>
      <c r="D28" t="s">
        <v>1206</v>
      </c>
      <c r="E28" s="189">
        <f>SUM('All Summaries'!AM74+'All Summaries'!AM86+'All Summaries'!AM89+'All Summaries'!AM90+'All Summaries'!AM92+'All Summaries'!AM127+'All Summaries'!AM132+'All Summaries'!AM133+'All Summaries'!AM134+'All Summaries'!AM135+'All Summaries'!AM136+'All Summaries'!AM137+'All Summaries'!AM138+'All Summaries'!AM139+'All Summaries'!AM140+'All Summaries'!AM141+'All Summaries'!AM142+'All Summaries'!AM143+'All Summaries'!AM144+'All Summaries'!AM145+'All Summaries'!AM146+'All Summaries'!AM147+'All Summaries'!AM148+'All Summaries'!AM149+'All Summaries'!AM150+'All Summaries'!AM151+'All Summaries'!AM152+'All Summaries'!AM153+'All Summaries'!AM154)</f>
        <v>262203135.76999998</v>
      </c>
      <c r="F28" s="208" t="e">
        <f>(E28/E31)*100</f>
        <v>#REF!</v>
      </c>
      <c r="G28" s="189">
        <f>SUM('All Summaries'!BH74,'All Summaries'!BH86,'All Summaries'!BH89,'All Summaries'!BH90,'All Summaries'!BH92,'All Summaries'!BH127,'All Summaries'!BH132,'All Summaries'!BH133,'All Summaries'!BH134,'All Summaries'!BH135,'All Summaries'!BH136,'All Summaries'!BH137,'All Summaries'!BH138,'All Summaries'!BH139,'All Summaries'!BH140,'All Summaries'!BH141,'All Summaries'!BH142,'All Summaries'!BH143,'All Summaries'!BH144,'All Summaries'!BH145,'All Summaries'!BH146,'All Summaries'!BH147,'All Summaries'!BH148,'All Summaries'!BH149,'All Summaries'!BH150,'All Summaries'!BH151,'All Summaries'!BH152,'All Summaries'!BH153,'All Summaries'!BH154)</f>
        <v>6096611.6699999999</v>
      </c>
      <c r="H28" s="189">
        <f>SUM('All Summaries'!BI74+'All Summaries'!BI86+'All Summaries'!BI89+'All Summaries'!BI90+'All Summaries'!BI92+'All Summaries'!BI127+'All Summaries'!BI132+'All Summaries'!BI133+'All Summaries'!BI134+'All Summaries'!BI135+'All Summaries'!BI136+'All Summaries'!BI137+'All Summaries'!BI138+'All Summaries'!BI139+'All Summaries'!BI140+'All Summaries'!BI141+'All Summaries'!BI142+'All Summaries'!BI143+'All Summaries'!BI144+'All Summaries'!BI145+'All Summaries'!BI146+'All Summaries'!BI147+'All Summaries'!BI148+'All Summaries'!BI149+'All Summaries'!BI150+'All Summaries'!BI151+'All Summaries'!BI152+'All Summaries'!BI153+'All Summaries'!BI154)</f>
        <v>7334598.6699999999</v>
      </c>
      <c r="I28" s="574">
        <f>SUM('All Summaries'!BJ74,'All Summaries'!BJ86,'All Summaries'!BJ89,'All Summaries'!BJ90,'All Summaries'!BJ92,'All Summaries'!BJ127,'All Summaries'!BJ132,'All Summaries'!BJ133,'All Summaries'!BJ134,'All Summaries'!BJ135,'All Summaries'!BJ136,'All Summaries'!BJ137,'All Summaries'!BJ138,'All Summaries'!BJ139,'All Summaries'!BJ140,'All Summaries'!BJ141,'All Summaries'!BJ142,'All Summaries'!BJ143,'All Summaries'!BJ144,'All Summaries'!BJ145,'All Summaries'!BJ146,'All Summaries'!BJ147,'All Summaries'!BJ148,'All Summaries'!BJ149,'All Summaries'!BJ150,'All Summaries'!BJ151,'All Summaries'!BJ152,'All Summaries'!BJ153,'All Summaries'!BJ154)</f>
        <v>7257496.6899999995</v>
      </c>
      <c r="J28" s="208">
        <f t="shared" si="6"/>
        <v>98.948790745492815</v>
      </c>
      <c r="K28" s="673">
        <f>SUM('All Summaries'!AP74,'All Summaries'!AP86,'All Summaries'!AP89,'All Summaries'!AP90,'All Summaries'!AP92,'All Summaries'!AP127,'All Summaries'!AP132,'All Summaries'!AP133,'All Summaries'!AP134,'All Summaries'!AP135,'All Summaries'!AP136,'All Summaries'!AP137,'All Summaries'!AP138,'All Summaries'!AP139,'All Summaries'!BG140,'All Summaries'!AP141,'All Summaries'!AP142,'All Summaries'!AP143,'All Summaries'!AP144,'All Summaries'!AP145,'All Summaries'!AP146,'All Summaries'!BG147,'All Summaries'!AP148,'All Summaries'!AP149,'All Summaries'!AP150,'All Summaries'!AP151,'All Summaries'!AP152,'All Summaries'!AP153,'All Summaries'!AP154)</f>
        <v>1308549.02</v>
      </c>
      <c r="L28" s="208">
        <f t="shared" si="7"/>
        <v>17.840771920517366</v>
      </c>
      <c r="M28" s="208">
        <f t="shared" si="8"/>
        <v>83.121271446471653</v>
      </c>
      <c r="N28" s="249">
        <f>SUM('All Summaries'!Z92+'All Summaries'!Z137)</f>
        <v>33825</v>
      </c>
      <c r="O28" s="250">
        <f>SUM('All Summaries'!Z74+'All Summaries'!Z86+'All Summaries'!Z89+'All Summaries'!Z90+'All Summaries'!Z127+'All Summaries'!Z132+'All Summaries'!Z133+'All Summaries'!Z134+'All Summaries'!Z135+'All Summaries'!Z136+'All Summaries'!Z138+'All Summaries'!Z139+'All Summaries'!Z140+'All Summaries'!Z141+'All Summaries'!Z142+'All Summaries'!Z143+'All Summaries'!Z144+'All Summaries'!Z145+'All Summaries'!Z146+'All Summaries'!Z147+'All Summaries'!Z148+'All Summaries'!Z149+'All Summaries'!Z150+'All Summaries'!Z151+'All Summaries'!Z152+'All Summaries'!Z153+'All Summaries'!Z154)</f>
        <v>422329</v>
      </c>
    </row>
    <row r="29" spans="1:15" x14ac:dyDescent="0.25">
      <c r="A29" s="175" t="s">
        <v>39</v>
      </c>
      <c r="B29">
        <v>1</v>
      </c>
      <c r="D29" t="s">
        <v>1257</v>
      </c>
      <c r="E29" s="189">
        <f>SUM('All Summaries'!AM66+'All Summaries'!AM68+'All Summaries'!AM69+'All Summaries'!AM70+'All Summaries'!AM71+'All Summaries'!AM76+'All Summaries'!AM77+'All Summaries'!AM78+'All Summaries'!AM79+'All Summaries'!AM80+'All Summaries'!AM84+'All Summaries'!AM85+'All Summaries'!AM93+'All Summaries'!AM96+'All Summaries'!AM109)</f>
        <v>135778409.5984973</v>
      </c>
      <c r="F29" s="208" t="e">
        <f>(E29/E31)*100</f>
        <v>#REF!</v>
      </c>
      <c r="G29" s="189">
        <f>SUM('All Summaries'!BH66,'All Summaries'!BH68,'All Summaries'!BH69,'All Summaries'!BH70,'All Summaries'!BH71,'All Summaries'!BH76,'All Summaries'!BH77,'All Summaries'!BH78,'All Summaries'!BH79,'All Summaries'!BH80,'All Summaries'!BH84,'All Summaries'!BH85,'All Summaries'!BH93,'All Summaries'!BH96,'All Summaries'!BH109)</f>
        <v>5250324.07</v>
      </c>
      <c r="H29" s="189">
        <f>SUM('All Summaries'!BI66+'All Summaries'!BI68+'All Summaries'!BI69+'All Summaries'!BI70+'All Summaries'!BI71+'All Summaries'!BI76+'All Summaries'!BI77+'All Summaries'!BI78+'All Summaries'!BI79+'All Summaries'!BI80+'All Summaries'!BI84+'All Summaries'!BI85+'All Summaries'!BI93+'All Summaries'!BI96+'All Summaries'!BI109)</f>
        <v>5884401.0700000003</v>
      </c>
      <c r="I29" s="574">
        <f>SUM('All Summaries'!BJ66,'All Summaries'!BJ68,'All Summaries'!BJ69,'All Summaries'!BJ70,'All Summaries'!BJ71,'All Summaries'!BJ76,'All Summaries'!BJ77,'All Summaries'!BJ78,'All Summaries'!BJ79,'All Summaries'!BJ84,'All Summaries'!BJ85,'All Summaries'!BJ93,'All Summaries'!BJ96,'All Summaries'!BJ109)</f>
        <v>4979068.07</v>
      </c>
      <c r="J29" s="208">
        <f t="shared" si="6"/>
        <v>84.614695884419049</v>
      </c>
      <c r="K29" s="673">
        <f>SUM('All Summaries'!AP66,'All Summaries'!AP68,'All Summaries'!AP69,'All Summaries'!AP70,'All Summaries'!AP71,'All Summaries'!AP76,'All Summaries'!AP77,'All Summaries'!AP78,'All Summaries'!AP79,'All Summaries'!AP80,'All Summaries'!AP84,'All Summaries'!AP85,'All Summaries'!AP93,'All Summaries'!AP96,'All Summaries'!AP109)</f>
        <v>600894</v>
      </c>
      <c r="L29" s="208">
        <f t="shared" si="7"/>
        <v>10.211642490915391</v>
      </c>
      <c r="M29" s="208">
        <f t="shared" si="8"/>
        <v>89.224442853960667</v>
      </c>
      <c r="N29" s="250">
        <f>SUM('All Summaries'!Z66+'All Summaries'!Z68+'All Summaries'!Z69+'All Summaries'!Z70+'All Summaries'!Z71+'All Summaries'!Z76+'All Summaries'!Z77+'All Summaries'!Z78+'All Summaries'!Z79+'All Summaries'!Z80+'All Summaries'!Z84+'All Summaries'!Z85+'All Summaries'!Z93+'All Summaries'!Z96+'All Summaries'!Z109)</f>
        <v>163956</v>
      </c>
      <c r="O29">
        <v>0</v>
      </c>
    </row>
    <row r="30" spans="1:15" x14ac:dyDescent="0.25">
      <c r="A30" s="175" t="s">
        <v>1124</v>
      </c>
      <c r="B30">
        <v>1</v>
      </c>
      <c r="D30" t="s">
        <v>1030</v>
      </c>
      <c r="E30" s="189">
        <f>SUM('All Summaries'!AM169+'All Summaries'!AM170+'All Summaries'!AM171+'All Summaries'!AM172+'All Summaries'!AM173+'All Summaries'!AM174+'All Summaries'!AM175)</f>
        <v>87244301.928658202</v>
      </c>
      <c r="F30" s="208" t="e">
        <f>(E30/E31)*100</f>
        <v>#REF!</v>
      </c>
      <c r="G30" s="189">
        <f>SUM('All Summaries'!BH169,'All Summaries'!BH170,'All Summaries'!BH171,'All Summaries'!BH172,'All Summaries'!BH173,'All Summaries'!BH174,'All Summaries'!BH175)</f>
        <v>3021792</v>
      </c>
      <c r="H30" s="189">
        <f>SUM('All Summaries'!BI169+'All Summaries'!BI170+'All Summaries'!BI171+'All Summaries'!BI172+'All Summaries'!BI173+'All Summaries'!BI174+'All Summaries'!BI175)</f>
        <v>3021792</v>
      </c>
      <c r="I30" s="574">
        <f>SUM('All Summaries'!BJ169,'All Summaries'!BJ170,'All Summaries'!BJ171,'All Summaries'!BJ172,'All Summaries'!BJ173,'All Summaries'!BJ174,'All Summaries'!BJ175)</f>
        <v>3021792</v>
      </c>
      <c r="J30" s="208">
        <f t="shared" si="6"/>
        <v>100</v>
      </c>
      <c r="K30" s="673">
        <f>SUM('All Summaries'!AP169,'All Summaries'!AP170,'All Summaries'!AP171,'All Summaries'!AP172,'All Summaries'!AP173,'All Summaries'!AP174,'All Summaries'!AP175)</f>
        <v>0</v>
      </c>
      <c r="L30" s="208">
        <f t="shared" si="7"/>
        <v>0</v>
      </c>
      <c r="M30" s="208">
        <f t="shared" si="8"/>
        <v>100</v>
      </c>
      <c r="N30">
        <f>SUM('All Summaries'!Z169+'All Summaries'!Z170+'All Summaries'!Z171+'All Summaries'!Z172+'All Summaries'!Z173)</f>
        <v>174727</v>
      </c>
      <c r="O30">
        <f>SUM('All Summaries'!Z174+'All Summaries'!Z175)</f>
        <v>42400</v>
      </c>
    </row>
    <row r="31" spans="1:15" x14ac:dyDescent="0.25">
      <c r="A31" s="175" t="s">
        <v>1125</v>
      </c>
      <c r="B31">
        <v>1</v>
      </c>
      <c r="D31" t="s">
        <v>394</v>
      </c>
      <c r="E31" s="189" t="e">
        <f>SUM(E23:E30)</f>
        <v>#REF!</v>
      </c>
      <c r="F31" s="69" t="e">
        <f>SUM(F23:F30)</f>
        <v>#REF!</v>
      </c>
      <c r="G31" s="189" t="e">
        <f>SUM(G23:G30)</f>
        <v>#REF!</v>
      </c>
      <c r="H31" s="189" t="e">
        <f>SUM(H23:H30)</f>
        <v>#REF!</v>
      </c>
      <c r="I31" s="574" t="e">
        <f>SUM(I23:I30)</f>
        <v>#REF!</v>
      </c>
      <c r="J31" s="208" t="e">
        <f t="shared" si="6"/>
        <v>#REF!</v>
      </c>
      <c r="K31" s="673" t="e">
        <f>SUM(K23:K30)</f>
        <v>#REF!</v>
      </c>
      <c r="L31" s="208" t="e">
        <f t="shared" si="7"/>
        <v>#REF!</v>
      </c>
      <c r="M31" s="208" t="e">
        <f t="shared" si="8"/>
        <v>#REF!</v>
      </c>
      <c r="N31" s="251" t="e">
        <f>SUM(N23:N30)</f>
        <v>#REF!</v>
      </c>
      <c r="O31" s="251">
        <f>SUM(O23:O30)</f>
        <v>1955234</v>
      </c>
    </row>
    <row r="32" spans="1:15" ht="105" x14ac:dyDescent="0.25">
      <c r="A32" s="175" t="s">
        <v>1123</v>
      </c>
      <c r="B32">
        <v>3</v>
      </c>
      <c r="E32" s="511" t="s">
        <v>1264</v>
      </c>
      <c r="F32" s="511" t="s">
        <v>389</v>
      </c>
      <c r="G32" s="192" t="s">
        <v>1268</v>
      </c>
      <c r="H32" s="511" t="s">
        <v>1265</v>
      </c>
    </row>
    <row r="33" spans="1:12" ht="17.100000000000001" customHeight="1" x14ac:dyDescent="0.25">
      <c r="A33" s="175" t="s">
        <v>1160</v>
      </c>
      <c r="B33">
        <v>1</v>
      </c>
      <c r="D33" t="s">
        <v>1201</v>
      </c>
      <c r="E33">
        <v>12</v>
      </c>
      <c r="F33">
        <v>57</v>
      </c>
      <c r="G33">
        <f>(E33/F33)*100</f>
        <v>21.052631578947366</v>
      </c>
      <c r="H33" s="208">
        <f>100-G33</f>
        <v>78.94736842105263</v>
      </c>
    </row>
    <row r="34" spans="1:12" x14ac:dyDescent="0.25">
      <c r="A34" s="175" t="s">
        <v>1161</v>
      </c>
      <c r="B34">
        <v>1</v>
      </c>
      <c r="D34" t="s">
        <v>1202</v>
      </c>
      <c r="E34">
        <v>4</v>
      </c>
      <c r="F34">
        <v>14</v>
      </c>
      <c r="G34">
        <f>(E34/F34)*100</f>
        <v>28.571428571428569</v>
      </c>
      <c r="H34" s="208">
        <f t="shared" ref="H34:H40" si="9">100-G34</f>
        <v>71.428571428571431</v>
      </c>
    </row>
    <row r="35" spans="1:12" x14ac:dyDescent="0.25">
      <c r="A35" s="175" t="s">
        <v>1162</v>
      </c>
      <c r="B35">
        <v>1</v>
      </c>
      <c r="D35" t="s">
        <v>1256</v>
      </c>
      <c r="E35">
        <v>4</v>
      </c>
      <c r="F35">
        <v>16</v>
      </c>
      <c r="G35">
        <f t="shared" ref="G35:G40" si="10">(E35/F35)*100</f>
        <v>25</v>
      </c>
      <c r="H35" s="208">
        <f t="shared" si="9"/>
        <v>75</v>
      </c>
    </row>
    <row r="36" spans="1:12" x14ac:dyDescent="0.25">
      <c r="A36" s="175" t="s">
        <v>1126</v>
      </c>
      <c r="B36">
        <v>1</v>
      </c>
      <c r="D36" t="s">
        <v>1204</v>
      </c>
      <c r="E36">
        <v>0</v>
      </c>
      <c r="F36">
        <v>3</v>
      </c>
      <c r="G36">
        <f t="shared" si="10"/>
        <v>0</v>
      </c>
      <c r="H36" s="208">
        <f t="shared" si="9"/>
        <v>100</v>
      </c>
    </row>
    <row r="37" spans="1:12" x14ac:dyDescent="0.25">
      <c r="A37" s="175" t="s">
        <v>1137</v>
      </c>
      <c r="B37">
        <v>9</v>
      </c>
      <c r="D37" t="s">
        <v>1205</v>
      </c>
      <c r="E37">
        <v>7</v>
      </c>
      <c r="F37">
        <v>34</v>
      </c>
      <c r="G37">
        <f t="shared" si="10"/>
        <v>20.588235294117645</v>
      </c>
      <c r="H37" s="208">
        <f t="shared" si="9"/>
        <v>79.411764705882348</v>
      </c>
    </row>
    <row r="38" spans="1:12" x14ac:dyDescent="0.25">
      <c r="A38" s="175" t="s">
        <v>1127</v>
      </c>
      <c r="B38">
        <v>2</v>
      </c>
      <c r="D38" t="s">
        <v>1206</v>
      </c>
      <c r="E38">
        <v>14</v>
      </c>
      <c r="F38">
        <v>29</v>
      </c>
      <c r="G38">
        <f t="shared" si="10"/>
        <v>48.275862068965516</v>
      </c>
      <c r="H38" s="208">
        <f t="shared" si="9"/>
        <v>51.724137931034484</v>
      </c>
    </row>
    <row r="39" spans="1:12" ht="16.5" customHeight="1" x14ac:dyDescent="0.25">
      <c r="A39" s="175" t="s">
        <v>269</v>
      </c>
      <c r="B39">
        <v>10</v>
      </c>
      <c r="D39" t="s">
        <v>1257</v>
      </c>
      <c r="E39">
        <v>3</v>
      </c>
      <c r="F39">
        <v>17</v>
      </c>
      <c r="G39">
        <f t="shared" si="10"/>
        <v>17.647058823529413</v>
      </c>
      <c r="H39" s="208">
        <f t="shared" si="9"/>
        <v>82.35294117647058</v>
      </c>
    </row>
    <row r="40" spans="1:12" x14ac:dyDescent="0.25">
      <c r="A40" s="176" t="s">
        <v>1133</v>
      </c>
      <c r="B40">
        <v>1</v>
      </c>
      <c r="D40" t="s">
        <v>1030</v>
      </c>
      <c r="E40">
        <v>0</v>
      </c>
      <c r="F40">
        <v>7</v>
      </c>
      <c r="G40">
        <f t="shared" si="10"/>
        <v>0</v>
      </c>
      <c r="H40" s="208">
        <f t="shared" si="9"/>
        <v>100</v>
      </c>
    </row>
    <row r="41" spans="1:12" x14ac:dyDescent="0.25">
      <c r="A41" s="175" t="s">
        <v>44</v>
      </c>
      <c r="B41">
        <v>2</v>
      </c>
      <c r="E41">
        <v>44</v>
      </c>
      <c r="F41">
        <v>175</v>
      </c>
      <c r="G41">
        <f>(E41/F41)*100</f>
        <v>25.142857142857146</v>
      </c>
      <c r="H41" s="208">
        <f>100-G41</f>
        <v>74.857142857142861</v>
      </c>
    </row>
    <row r="42" spans="1:12" x14ac:dyDescent="0.25">
      <c r="A42" s="175" t="s">
        <v>125</v>
      </c>
      <c r="B42">
        <v>9</v>
      </c>
    </row>
    <row r="43" spans="1:12" x14ac:dyDescent="0.25">
      <c r="A43" s="175" t="s">
        <v>1129</v>
      </c>
      <c r="B43">
        <v>1</v>
      </c>
    </row>
    <row r="44" spans="1:12" ht="101.45" x14ac:dyDescent="0.35">
      <c r="D44" s="672">
        <v>42451</v>
      </c>
      <c r="E44" t="s">
        <v>389</v>
      </c>
      <c r="F44" s="572" t="s">
        <v>1265</v>
      </c>
      <c r="G44" t="s">
        <v>1512</v>
      </c>
      <c r="H44" t="s">
        <v>1513</v>
      </c>
      <c r="I44" t="s">
        <v>1514</v>
      </c>
      <c r="J44" t="s">
        <v>1515</v>
      </c>
      <c r="K44" t="s">
        <v>1516</v>
      </c>
      <c r="L44" t="s">
        <v>1517</v>
      </c>
    </row>
    <row r="45" spans="1:12" x14ac:dyDescent="0.25">
      <c r="A45" s="175" t="s">
        <v>333</v>
      </c>
      <c r="B45">
        <v>3</v>
      </c>
      <c r="D45" t="s">
        <v>1201</v>
      </c>
      <c r="E45">
        <v>57</v>
      </c>
      <c r="F45">
        <v>33</v>
      </c>
      <c r="G45" s="208">
        <f t="shared" ref="G45:G53" si="11">(F45/E45)*100</f>
        <v>57.894736842105267</v>
      </c>
      <c r="H45" s="674" t="e">
        <f>SUM('All Summaries'!AX2,'All Summaries'!AX4,'All Summaries'!AX6,'All Summaries'!AX7,'All Summaries'!AX8,'All Summaries'!AX13,'All Summaries'!AX16,'All Summaries'!AX17,'All Summaries'!AX18,'All Summaries'!AX19,'All Summaries'!AX20,'All Summaries'!AX21,'All Summaries'!AX24,'All Summaries'!AX25,'All Summaries'!AX26,'All Summaries'!AX28,'All Summaries'!AX30,'All Summaries'!AX31,'All Summaries'!AX33,'All Summaries'!#REF!,'All Summaries'!AX35,'All Summaries'!AX38,'All Summaries'!AX39,'All Summaries'!AX40,'All Summaries'!AX41,'All Summaries'!AX42,'All Summaries'!AX44,'All Summaries'!AX45,'All Summaries'!AX48,'All Summaries'!AX50,'All Summaries'!AX52,'All Summaries'!AX54,'All Summaries'!AX57)</f>
        <v>#REF!</v>
      </c>
      <c r="I45" s="208" t="e">
        <f>(H45/J45)*100</f>
        <v>#REF!</v>
      </c>
      <c r="J45" s="676">
        <f>SUM('All Summaries'!AW2:AW57,'All Summaries'!AW65)</f>
        <v>18555974.252020001</v>
      </c>
      <c r="K45" s="673">
        <f>SUM('All Summaries'!AY2:AY57,'All Summaries'!AY65)</f>
        <v>5467228</v>
      </c>
      <c r="L45" s="208">
        <f t="shared" ref="L45:L53" si="12">(K45/J45)*100</f>
        <v>29.463438166847201</v>
      </c>
    </row>
    <row r="46" spans="1:12" x14ac:dyDescent="0.25">
      <c r="A46" s="175" t="s">
        <v>1130</v>
      </c>
      <c r="B46">
        <v>3</v>
      </c>
      <c r="D46" t="s">
        <v>1202</v>
      </c>
      <c r="E46">
        <v>14</v>
      </c>
      <c r="F46">
        <v>6</v>
      </c>
      <c r="G46" s="208">
        <f t="shared" si="11"/>
        <v>42.857142857142854</v>
      </c>
      <c r="H46" s="674">
        <f>SUM('All Summaries'!AX61,'All Summaries'!AX67,'All Summaries'!AX82,'All Summaries'!AX83,'All Summaries'!AX88,'All Summaries'!AX125)</f>
        <v>1949809</v>
      </c>
      <c r="I46" s="208">
        <f t="shared" ref="I46:I53" si="13">(H46/J46)*100</f>
        <v>30.147179320291233</v>
      </c>
      <c r="J46" s="676">
        <f>SUM('All Summaries'!AW61,'All Summaries'!AW67,'All Summaries'!AW72,'All Summaries'!AW73,'All Summaries'!AW75,'All Summaries'!AW81,'All Summaries'!AW82,'All Summaries'!AW83,'All Summaries'!AW87,'All Summaries'!AW88,'All Summaries'!AW94,'All Summaries'!AW95,'All Summaries'!AW122,'All Summaries'!AW125)</f>
        <v>6467633.2710424997</v>
      </c>
      <c r="K46" s="189">
        <f>SUM('All Summaries'!AY61,'All Summaries'!AY67,'All Summaries'!AY72,'All Summaries'!AY73,'All Summaries'!AY75,'All Summaries'!AY81,'All Summaries'!AY82,'All Summaries'!AY83,'All Summaries'!AY87,'All Summaries'!AY88,'All Summaries'!AY94,'All Summaries'!AY95,'All Summaries'!AY122,'All Summaries'!AY125)</f>
        <v>2370356</v>
      </c>
      <c r="L46" s="208">
        <f t="shared" si="12"/>
        <v>36.649511508526352</v>
      </c>
    </row>
    <row r="47" spans="1:12" x14ac:dyDescent="0.25">
      <c r="A47" s="175" t="s">
        <v>1134</v>
      </c>
      <c r="B47">
        <v>3</v>
      </c>
      <c r="D47" t="s">
        <v>1510</v>
      </c>
      <c r="E47">
        <v>16</v>
      </c>
      <c r="F47">
        <v>5</v>
      </c>
      <c r="G47" s="208">
        <f t="shared" si="11"/>
        <v>31.25</v>
      </c>
      <c r="H47" s="673">
        <f>SUM('All Summaries'!AX155,'All Summaries'!AX157,'All Summaries'!AX158,'All Summaries'!AX159,'All Summaries'!AX163)</f>
        <v>1106947</v>
      </c>
      <c r="I47" s="675">
        <f t="shared" si="13"/>
        <v>17.009893863535346</v>
      </c>
      <c r="J47" s="676">
        <f>SUM('All Summaries'!AW58,'All Summaries'!AW60,'All Summaries'!AW155,'All Summaries'!AW156,'All Summaries'!AW157,'All Summaries'!AW158,'All Summaries'!AW159,'All Summaries'!AW160,'All Summaries'!AW161,'All Summaries'!AW162,'All Summaries'!AW163,'All Summaries'!AW164,'All Summaries'!AW165,'All Summaries'!AW166,'All Summaries'!AW167,'All Summaries'!AW168)</f>
        <v>6507665.5320759974</v>
      </c>
      <c r="K47" s="673">
        <f>SUM('All Summaries'!AY58,'All Summaries'!AY60,'All Summaries'!AY155,'All Summaries'!AY156,'All Summaries'!AY157,'All Summaries'!AY158,'All Summaries'!AY159,'All Summaries'!AY160,'All Summaries'!AY161,'All Summaries'!AY162,'All Summaries'!AY163,'All Summaries'!AY164,'All Summaries'!AY165,'All Summaries'!AY166,'All Summaries'!AY167,'All Summaries'!AY168)</f>
        <v>1880652</v>
      </c>
      <c r="L47" s="208">
        <f t="shared" si="12"/>
        <v>28.899026705204022</v>
      </c>
    </row>
    <row r="48" spans="1:12" x14ac:dyDescent="0.25">
      <c r="A48" s="175" t="s">
        <v>1180</v>
      </c>
      <c r="B48">
        <v>1</v>
      </c>
      <c r="D48" t="s">
        <v>1204</v>
      </c>
      <c r="E48">
        <v>3</v>
      </c>
      <c r="F48">
        <v>1</v>
      </c>
      <c r="G48" s="208">
        <f t="shared" si="11"/>
        <v>33.333333333333329</v>
      </c>
      <c r="H48" s="673">
        <f>SUM('All Summaries'!AX63)</f>
        <v>31944</v>
      </c>
      <c r="I48" s="675">
        <f t="shared" si="13"/>
        <v>4.7674852491373709</v>
      </c>
      <c r="J48" s="676">
        <f>SUM('All Summaries'!AW62,'All Summaries'!AW63,'All Summaries'!AW64)</f>
        <v>670038.78</v>
      </c>
      <c r="K48" s="673">
        <f>SUM('All Summaries'!AY62,'All Summaries'!AY63,'All Summaries'!AY64)</f>
        <v>128166</v>
      </c>
      <c r="L48" s="208">
        <f t="shared" si="12"/>
        <v>19.128146582799282</v>
      </c>
    </row>
    <row r="49" spans="1:12" x14ac:dyDescent="0.25">
      <c r="A49" s="175" t="s">
        <v>441</v>
      </c>
      <c r="B49">
        <v>1</v>
      </c>
      <c r="D49" t="s">
        <v>1205</v>
      </c>
      <c r="E49">
        <v>34</v>
      </c>
      <c r="F49">
        <v>8</v>
      </c>
      <c r="G49" s="208">
        <f t="shared" si="11"/>
        <v>23.52941176470588</v>
      </c>
      <c r="H49" s="673">
        <f>SUM('All Summaries'!AX59,'All Summaries'!AX91,'All Summaries'!AX97,'All Summaries'!AX101,'All Summaries'!AX102,'All Summaries'!AX105,'All Summaries'!AX110,'All Summaries'!AX118,'All Summaries'!AX131)</f>
        <v>4656249</v>
      </c>
      <c r="I49" s="675" t="e">
        <f t="shared" si="13"/>
        <v>#REF!</v>
      </c>
      <c r="J49" s="676" t="e">
        <f>SUM('All Summaries'!AW59,'All Summaries'!AW91,'All Summaries'!AW97,'All Summaries'!AW98,'All Summaries'!AW99,'All Summaries'!AW100,'All Summaries'!AW101,'All Summaries'!AW102,'All Summaries'!AW103,'All Summaries'!AW104,'All Summaries'!AW105,'All Summaries'!AW106,'All Summaries'!AW107,'All Summaries'!AW108,'All Summaries'!AW110,'All Summaries'!AW111,'All Summaries'!AW113,'All Summaries'!AW114,'All Summaries'!AW115,'All Summaries'!#REF!,'All Summaries'!AW112,'All Summaries'!AW116,'All Summaries'!AW117,'All Summaries'!AW118,'All Summaries'!AW119,'All Summaries'!AW120,'All Summaries'!AW121,'All Summaries'!AW123,'All Summaries'!AW124,'All Summaries'!AW126,'All Summaries'!AW128,'All Summaries'!AW129,'All Summaries'!AW130,'All Summaries'!AW131)</f>
        <v>#REF!</v>
      </c>
      <c r="K49" s="189" t="e">
        <f>SUM('All Summaries'!AY59,'All Summaries'!AY91,'All Summaries'!AY97,'All Summaries'!AY98,'All Summaries'!AY99,'All Summaries'!AY100,'All Summaries'!AY101,'All Summaries'!AY102,'All Summaries'!AY103,'All Summaries'!AY104,'All Summaries'!AY105,'All Summaries'!AY106,'All Summaries'!AY107,'All Summaries'!AY108,'All Summaries'!AY110,'All Summaries'!AY112,'All Summaries'!AY113,'All Summaries'!AY114,'All Summaries'!AY115,'All Summaries'!#REF!,'All Summaries'!AY116,'All Summaries'!AY117,'All Summaries'!AY118,'All Summaries'!AY119,'All Summaries'!AY120,'All Summaries'!AY121,'All Summaries'!AY123,'All Summaries'!AY124,'All Summaries'!AY126,'All Summaries'!AY128,'All Summaries'!AY129,'All Summaries'!AY130,'All Summaries'!AY131)</f>
        <v>#REF!</v>
      </c>
      <c r="L49" s="208" t="e">
        <f t="shared" si="12"/>
        <v>#REF!</v>
      </c>
    </row>
    <row r="50" spans="1:12" ht="14.45" customHeight="1" x14ac:dyDescent="0.25">
      <c r="A50" s="175" t="s">
        <v>431</v>
      </c>
      <c r="B50">
        <v>4</v>
      </c>
      <c r="D50" t="s">
        <v>1206</v>
      </c>
      <c r="E50">
        <v>29</v>
      </c>
      <c r="F50">
        <v>17</v>
      </c>
      <c r="G50" s="208">
        <f t="shared" si="11"/>
        <v>58.620689655172406</v>
      </c>
      <c r="H50" s="673">
        <f>SUM('All Summaries'!AX90,'All Summaries'!AX92,'All Summaries'!AX135,'All Summaries'!AX136,'All Summaries'!AX138,'All Summaries'!AX139,'All Summaries'!AX142,'All Summaries'!AX143,'All Summaries'!AX144,'All Summaries'!AX145,'All Summaries'!AX146,'All Summaries'!AX147,'All Summaries'!AX148,'All Summaries'!AX149,'All Summaries'!AX150,'All Summaries'!AX151,'All Summaries'!AX153)</f>
        <v>5996038</v>
      </c>
      <c r="I50" s="675">
        <f t="shared" si="13"/>
        <v>58.316804624215713</v>
      </c>
      <c r="J50" s="676">
        <f>SUM('All Summaries'!AW74,'All Summaries'!AW86,'All Summaries'!AW89,'All Summaries'!AW90,'All Summaries'!AW92,'All Summaries'!AW127,'All Summaries'!AW132,'All Summaries'!AW133,'All Summaries'!AW134,'All Summaries'!AW135,'All Summaries'!AW136,'All Summaries'!AW137,'All Summaries'!AW138,'All Summaries'!AW139,'All Summaries'!AW140,'All Summaries'!AW141,'All Summaries'!AW142,'All Summaries'!AW143,'All Summaries'!AW144,'All Summaries'!AW145,'All Summaries'!AW146,'All Summaries'!AW147,'All Summaries'!AW148,'All Summaries'!AW149,'All Summaries'!AW150,'All Summaries'!AW151,'All Summaries'!AW152,'All Summaries'!AW153,'All Summaries'!AW154)</f>
        <v>10281835.636635996</v>
      </c>
      <c r="K50" s="189">
        <f>SUM('All Summaries'!AY74,'All Summaries'!AY86,'All Summaries'!AY89,'All Summaries'!AY90,'All Summaries'!AY92,'All Summaries'!AY127,'All Summaries'!AY132,'All Summaries'!AY133,'All Summaries'!AY134,'All Summaries'!AY135,'All Summaries'!AY136,'All Summaries'!AY137,'All Summaries'!AY138,'All Summaries'!AY139,'All Summaries'!AY140,'All Summaries'!AY141,'All Summaries'!AY142,'All Summaries'!AY143,'All Summaries'!AY144,'All Summaries'!AY145,'All Summaries'!AY146,'All Summaries'!AY147,'All Summaries'!AY148,'All Summaries'!AY149,'All Summaries'!AY150,'All Summaries'!AY151,'All Summaries'!AY152,'All Summaries'!AY153,'All Summaries'!AY154)</f>
        <v>1671486</v>
      </c>
      <c r="L50" s="208">
        <f t="shared" si="12"/>
        <v>16.256688582379201</v>
      </c>
    </row>
    <row r="51" spans="1:12" x14ac:dyDescent="0.25">
      <c r="A51" s="175" t="s">
        <v>1131</v>
      </c>
      <c r="B51">
        <v>3</v>
      </c>
      <c r="D51" t="s">
        <v>1511</v>
      </c>
      <c r="E51">
        <v>15</v>
      </c>
      <c r="F51">
        <v>10</v>
      </c>
      <c r="G51" s="208">
        <f t="shared" si="11"/>
        <v>66.666666666666657</v>
      </c>
      <c r="H51" s="673">
        <f>SUM('All Summaries'!AX66,'All Summaries'!AX68,'All Summaries'!AX69,'All Summaries'!AX76,'All Summaries'!AX77,'All Summaries'!AX78,'All Summaries'!AX80,'All Summaries'!AX84,'All Summaries'!AX85,'All Summaries'!AX109)</f>
        <v>5510404</v>
      </c>
      <c r="I51" s="675">
        <f t="shared" si="13"/>
        <v>79.475931160837916</v>
      </c>
      <c r="J51" s="676">
        <f>SUM('All Summaries'!AW66,'All Summaries'!AW68,'All Summaries'!AW69,'All Summaries'!AW70,'All Summaries'!AW71,'All Summaries'!AW76,'All Summaries'!AW77,'All Summaries'!AW78,'All Summaries'!AW79,'All Summaries'!AW80,'All Summaries'!AW84,'All Summaries'!AW85,'All Summaries'!AW93,'All Summaries'!AW96,'All Summaries'!AW109)</f>
        <v>6933424.8992294585</v>
      </c>
      <c r="K51" s="673">
        <f>SUM('All Summaries'!AY66,'All Summaries'!AY68,'All Summaries'!AY69,'All Summaries'!AY70,'All Summaries'!AY71,'All Summaries'!AY76,'All Summaries'!AY77,'All Summaries'!AY78,'All Summaries'!AY79,'All Summaries'!AY80,'All Summaries'!AY84,'All Summaries'!AY85,'All Summaries'!AY93,'All Summaries'!AY96,'All Summaries'!AY109)</f>
        <v>594215.5</v>
      </c>
      <c r="L51" s="208">
        <f t="shared" si="12"/>
        <v>8.5703026806569689</v>
      </c>
    </row>
    <row r="52" spans="1:12" x14ac:dyDescent="0.25">
      <c r="A52" s="175" t="s">
        <v>1132</v>
      </c>
      <c r="B52">
        <v>3</v>
      </c>
      <c r="D52" t="s">
        <v>1208</v>
      </c>
      <c r="E52">
        <v>7</v>
      </c>
      <c r="F52">
        <v>3</v>
      </c>
      <c r="G52" s="208">
        <f t="shared" si="11"/>
        <v>42.857142857142854</v>
      </c>
      <c r="H52" s="673">
        <f>SUM('All Summaries'!AX171,'All Summaries'!AX173,'All Summaries'!AX174)</f>
        <v>1639691</v>
      </c>
      <c r="I52" s="675">
        <f t="shared" si="13"/>
        <v>37.096019149202554</v>
      </c>
      <c r="J52" s="676">
        <f>SUM('All Summaries'!AW169,'All Summaries'!AW170,'All Summaries'!AW171,'All Summaries'!AW172,'All Summaries'!AW173,'All Summaries'!AW174,'All Summaries'!AW175)</f>
        <v>4420126.5731642479</v>
      </c>
      <c r="K52" s="673">
        <f>SUM('All Summaries'!AY169,'All Summaries'!AY170,'All Summaries'!AY171,'All Summaries'!AY172,'All Summaries'!AY173,'All Summaries'!AY174,'All Summaries'!AY175)</f>
        <v>1256074</v>
      </c>
      <c r="L52" s="208">
        <f t="shared" si="12"/>
        <v>28.41715003425368</v>
      </c>
    </row>
    <row r="53" spans="1:12" x14ac:dyDescent="0.25">
      <c r="A53" s="175" t="s">
        <v>1114</v>
      </c>
      <c r="B53">
        <v>6</v>
      </c>
      <c r="E53">
        <f>SUM(E45:E52)</f>
        <v>175</v>
      </c>
      <c r="F53">
        <f>SUM(F45:F52)</f>
        <v>83</v>
      </c>
      <c r="G53" s="208">
        <f t="shared" si="11"/>
        <v>47.428571428571431</v>
      </c>
      <c r="H53" s="189" t="e">
        <f>SUM(H45:H52)</f>
        <v>#REF!</v>
      </c>
      <c r="I53" s="675" t="e">
        <f t="shared" si="13"/>
        <v>#REF!</v>
      </c>
      <c r="J53" s="676" t="e">
        <f>SUM(J45:J52)</f>
        <v>#REF!</v>
      </c>
      <c r="K53" s="189" t="e">
        <f>SUM(K45:K52)</f>
        <v>#REF!</v>
      </c>
      <c r="L53" s="208" t="e">
        <f t="shared" si="12"/>
        <v>#REF!</v>
      </c>
    </row>
    <row r="54" spans="1:12" x14ac:dyDescent="0.25">
      <c r="A54" s="175" t="s">
        <v>1139</v>
      </c>
      <c r="B54">
        <v>1</v>
      </c>
      <c r="I54" s="194"/>
    </row>
    <row r="55" spans="1:12" ht="39" customHeight="1" x14ac:dyDescent="0.25">
      <c r="A55" s="175" t="s">
        <v>1115</v>
      </c>
      <c r="B55">
        <v>8</v>
      </c>
      <c r="D55" s="774" t="s">
        <v>1530</v>
      </c>
      <c r="E55" t="s">
        <v>389</v>
      </c>
      <c r="F55" s="572" t="s">
        <v>1265</v>
      </c>
      <c r="G55" t="s">
        <v>1512</v>
      </c>
      <c r="H55" t="s">
        <v>1515</v>
      </c>
      <c r="I55" t="s">
        <v>1528</v>
      </c>
      <c r="J55" t="s">
        <v>1513</v>
      </c>
      <c r="K55" t="s">
        <v>1514</v>
      </c>
      <c r="L55" t="s">
        <v>1529</v>
      </c>
    </row>
    <row r="56" spans="1:12" x14ac:dyDescent="0.25">
      <c r="A56" s="175" t="s">
        <v>1138</v>
      </c>
      <c r="B56">
        <v>1</v>
      </c>
      <c r="D56" t="s">
        <v>1201</v>
      </c>
      <c r="E56">
        <v>57</v>
      </c>
      <c r="F56">
        <v>41</v>
      </c>
      <c r="G56" s="208">
        <f>(F56/E56)*100</f>
        <v>71.929824561403507</v>
      </c>
      <c r="H56" s="189">
        <f>SUM('All Summaries'!AO2:AO56,'All Summaries'!AO65)</f>
        <v>14303974</v>
      </c>
      <c r="I56" s="189">
        <f>SUM('All Summaries'!AP2:AP56,'All Summaries'!AP65)</f>
        <v>1196418</v>
      </c>
      <c r="J56" s="189">
        <f>SUM('All Summaries'!AN2:AN57,'All Summaries'!AN65)</f>
        <v>13117672</v>
      </c>
      <c r="K56" s="208">
        <f>(J56/H56)*100</f>
        <v>91.706486602953845</v>
      </c>
      <c r="L56" s="208">
        <f>(I56/H56)*100</f>
        <v>8.3642350021050103</v>
      </c>
    </row>
    <row r="57" spans="1:12" x14ac:dyDescent="0.25">
      <c r="A57" s="175" t="s">
        <v>1136</v>
      </c>
      <c r="B57">
        <v>2</v>
      </c>
      <c r="D57" t="s">
        <v>1202</v>
      </c>
      <c r="E57">
        <v>14</v>
      </c>
      <c r="F57">
        <v>10</v>
      </c>
      <c r="G57" s="208">
        <f t="shared" ref="G57:G64" si="14">(F57/E57)*100</f>
        <v>71.428571428571431</v>
      </c>
      <c r="H57" s="189">
        <f>SUM('All Summaries'!AO61,'All Summaries'!AO67,'All Summaries'!AO72,'All Summaries'!AO73,'All Summaries'!AO75,'All Summaries'!AO81,'All Summaries'!AO82,'All Summaries'!AO83,'All Summaries'!AO87,'All Summaries'!AO88,'All Summaries'!AO94,'All Summaries'!AO95,'All Summaries'!AO122,'All Summaries'!AO125)</f>
        <v>4462803.33</v>
      </c>
      <c r="I57" s="189">
        <f>SUM('All Summaries'!AP61,'All Summaries'!AP67,'All Summaries'!AP72,'All Summaries'!AP73,'All Summaries'!AP75,'All Summaries'!AP81,'All Summaries'!AP82,'All Summaries'!AP83,'All Summaries'!AP87,'All Summaries'!AP88,'All Summaries'!AP94,'All Summaries'!AP95,'All Summaries'!AP122,'All Summaries'!AP125)</f>
        <v>352870</v>
      </c>
      <c r="J57" s="189">
        <f>SUM('All Summaries'!AN61,'All Summaries'!AN67,'All Summaries'!AN72,'All Summaries'!AN73,'All Summaries'!AN75,'All Summaries'!AN81,'All Summaries'!AN82,'All Summaries'!AN83,'All Summaries'!AN87,'All Summaries'!AN88,'All Summaries'!AN94,'All Summaries'!AN95,'All Summaries'!AN122,'All Summaries'!AN125)</f>
        <v>4109933.33</v>
      </c>
      <c r="K57" s="208">
        <f t="shared" ref="K57:K64" si="15">(J57/H57)*100</f>
        <v>92.093086477104507</v>
      </c>
      <c r="L57" s="208">
        <f t="shared" ref="L57:L64" si="16">(I57/H57)*100</f>
        <v>7.9069135228954837</v>
      </c>
    </row>
    <row r="58" spans="1:12" x14ac:dyDescent="0.25">
      <c r="A58" s="175" t="s">
        <v>424</v>
      </c>
      <c r="B58">
        <v>2</v>
      </c>
      <c r="D58" t="s">
        <v>1510</v>
      </c>
      <c r="E58">
        <v>16</v>
      </c>
      <c r="F58">
        <v>12</v>
      </c>
      <c r="G58" s="208">
        <f t="shared" si="14"/>
        <v>75</v>
      </c>
      <c r="H58" s="189">
        <f>SUM('All Summaries'!AO58,'All Summaries'!AO60,'All Summaries'!AO154,'All Summaries'!AO155,'All Summaries'!AO156,'All Summaries'!AO157,'All Summaries'!AO158,'All Summaries'!AO159,'All Summaries'!AO160,'All Summaries'!AO161,'All Summaries'!AO162,'All Summaries'!AO163,'All Summaries'!AO164,'All Summaries'!AO165,'All Summaries'!AO167,'All Summaries'!AO168)</f>
        <v>5124207</v>
      </c>
      <c r="I58" s="189">
        <f>SUM('All Summaries'!AP58,'All Summaries'!AP60,'All Summaries'!AP154,'All Summaries'!AP155,'All Summaries'!AP156,'All Summaries'!AP157,'All Summaries'!AP158,'All Summaries'!AP159,'All Summaries'!AP160,'All Summaries'!AP161,'All Summaries'!AP162,'All Summaries'!AP163,'All Summaries'!AP164,'All Summaries'!AP165,'All Summaries'!AP167,'All Summaries'!AP168)</f>
        <v>298842</v>
      </c>
      <c r="J58" s="189">
        <f>SUM('All Summaries'!AN58,'All Summaries'!AN60,'All Summaries'!AN154,'All Summaries'!AN155,'All Summaries'!AN156,'All Summaries'!AN157,'All Summaries'!AN158,'All Summaries'!AN159,'All Summaries'!AN160,'All Summaries'!AN161,'All Summaries'!AN162,'All Summaries'!AN163,'All Summaries'!AN164,'All Summaries'!AN165,'All Summaries'!AN167,'All Summaries'!AN168)</f>
        <v>4942489</v>
      </c>
      <c r="K58" s="208">
        <f t="shared" si="15"/>
        <v>96.453734207068536</v>
      </c>
      <c r="L58" s="208">
        <f t="shared" si="16"/>
        <v>5.8319658046601166</v>
      </c>
    </row>
    <row r="59" spans="1:12" x14ac:dyDescent="0.25">
      <c r="A59" s="175" t="s">
        <v>1140</v>
      </c>
      <c r="B59">
        <v>1</v>
      </c>
      <c r="D59" t="s">
        <v>1204</v>
      </c>
      <c r="E59">
        <v>3</v>
      </c>
      <c r="F59">
        <v>3</v>
      </c>
      <c r="G59" s="208">
        <f t="shared" si="14"/>
        <v>100</v>
      </c>
      <c r="H59" s="189">
        <f>SUM('All Summaries'!AO62:AO64)</f>
        <v>490484</v>
      </c>
      <c r="I59" s="189">
        <f>SUM('All Summaries'!AP62:AP64)</f>
        <v>0</v>
      </c>
      <c r="J59" s="189">
        <f>SUM('All Summaries'!AN62:AN64)</f>
        <v>490484</v>
      </c>
      <c r="K59" s="208">
        <f t="shared" si="15"/>
        <v>100</v>
      </c>
      <c r="L59" s="208">
        <f t="shared" si="16"/>
        <v>0</v>
      </c>
    </row>
    <row r="60" spans="1:12" x14ac:dyDescent="0.25">
      <c r="A60" s="175" t="s">
        <v>1141</v>
      </c>
      <c r="B60">
        <v>1</v>
      </c>
      <c r="D60" t="s">
        <v>1205</v>
      </c>
      <c r="E60">
        <v>32</v>
      </c>
      <c r="F60">
        <v>26</v>
      </c>
      <c r="G60" s="208">
        <f t="shared" si="14"/>
        <v>81.25</v>
      </c>
      <c r="H60" s="189">
        <f>SUM('All Summaries'!AO59,'All Summaries'!AO91,'All Summaries'!AO97,'All Summaries'!AO98,'All Summaries'!AO99,'All Summaries'!AO100,'All Summaries'!AO102,'All Summaries'!AO103,'All Summaries'!AO104,'All Summaries'!AO105,'All Summaries'!AO106,'All Summaries'!AO107,'All Summaries'!AO108,'All Summaries'!AO109,'All Summaries'!AO111,'All Summaries'!AO112,'All Summaries'!AO113,'All Summaries'!AO114,'All Summaries'!AO115,'All Summaries'!AO116,'All Summaries'!AO117,'All Summaries'!AO118,'All Summaries'!AO119,'All Summaries'!AO120,'All Summaries'!AO121,'All Summaries'!AO123,'All Summaries'!AO126,'All Summaries'!AO128,'All Summaries'!AO129,'All Summaries'!AO130,'All Summaries'!AO131)</f>
        <v>17295108</v>
      </c>
      <c r="I60" s="189">
        <f>SUM('All Summaries'!AP59,'All Summaries'!AP91,'All Summaries'!AP97,'All Summaries'!AP98,'All Summaries'!AP99,'All Summaries'!AP100,'All Summaries'!AP102,'All Summaries'!AP103,'All Summaries'!AP104,'All Summaries'!AP105,'All Summaries'!AP106,'All Summaries'!AP107,'All Summaries'!AP108,'All Summaries'!AP109,'All Summaries'!AP111,'All Summaries'!AP112,'All Summaries'!AP113,'All Summaries'!AP114,'All Summaries'!AP115,'All Summaries'!AP116,'All Summaries'!AP117,'All Summaries'!AP118,'All Summaries'!AP119,'All Summaries'!AP120,'All Summaries'!AP121,'All Summaries'!AP123,'All Summaries'!AP126,'All Summaries'!AP128,'All Summaries'!AP129,'All Summaries'!AP130,'All Summaries'!AP131)</f>
        <v>1005053</v>
      </c>
      <c r="J60" s="189">
        <f>SUM('All Summaries'!AN59,'All Summaries'!AN91,'All Summaries'!AN97,'All Summaries'!AN98,'All Summaries'!AN99,'All Summaries'!AN100,'All Summaries'!AN102,'All Summaries'!AN103,'All Summaries'!AN104,'All Summaries'!AN105,'All Summaries'!AN106,'All Summaries'!AN107,'All Summaries'!AN108,'All Summaries'!AN109,'All Summaries'!AN111,'All Summaries'!AN112,'All Summaries'!AN113,'All Summaries'!AN114,'All Summaries'!AN115,'All Summaries'!AN116,'All Summaries'!AN117,'All Summaries'!AN118,'All Summaries'!AN119,'All Summaries'!AN120,'All Summaries'!AN121,'All Summaries'!AN123,'All Summaries'!AN124,'All Summaries'!AN126,'All Summaries'!AN128,'All Summaries'!AN129,'All Summaries'!AN130,'All Summaries'!AN131)</f>
        <v>16339452</v>
      </c>
      <c r="K60" s="208">
        <f t="shared" si="15"/>
        <v>94.474414383535503</v>
      </c>
      <c r="L60" s="208">
        <f t="shared" si="16"/>
        <v>5.811198172338675</v>
      </c>
    </row>
    <row r="61" spans="1:12" x14ac:dyDescent="0.25">
      <c r="A61" s="175" t="s">
        <v>1142</v>
      </c>
      <c r="B61">
        <v>1</v>
      </c>
      <c r="D61" t="s">
        <v>1206</v>
      </c>
      <c r="E61">
        <v>28</v>
      </c>
      <c r="F61">
        <v>13</v>
      </c>
      <c r="G61" s="208">
        <f t="shared" si="14"/>
        <v>46.428571428571431</v>
      </c>
      <c r="H61" s="189">
        <f>SUM('All Summaries'!AO74,'All Summaries'!AO86,'All Summaries'!AO89,'All Summaries'!AO90,'All Summaries'!AO92,'All Summaries'!AO127,'All Summaries'!AO132,'All Summaries'!AO133,'All Summaries'!AO134,'All Summaries'!AO135,'All Summaries'!AO136,'All Summaries'!AO137,'All Summaries'!AO138,'All Summaries'!AO139,'All Summaries'!AO140,'All Summaries'!AO141,'All Summaries'!AO142,'All Summaries'!AO143,'All Summaries'!AO144,'All Summaries'!AO145,'All Summaries'!AO146,'All Summaries'!AO147,'All Summaries'!AO148,'All Summaries'!AO149,'All Summaries'!AO150,'All Summaries'!AO151,'All Summaries'!AO152,'All Summaries'!AO153)</f>
        <v>7279070.1699999999</v>
      </c>
      <c r="I61" s="189">
        <f>SUM('All Summaries'!AP74,'All Summaries'!AP86,'All Summaries'!AP89,'All Summaries'!AP90,'All Summaries'!AP92,'All Summaries'!AP127,'All Summaries'!AP132,'All Summaries'!AP133,'All Summaries'!AP134,'All Summaries'!AP135,'All Summaries'!AP136,'All Summaries'!AP137,'All Summaries'!AP138,'All Summaries'!AP139,'All Summaries'!AP140,'All Summaries'!AP141,'All Summaries'!AP142,'All Summaries'!AP143,'All Summaries'!AP144,'All Summaries'!AP145,'All Summaries'!AP146,'All Summaries'!AP147,'All Summaries'!AP148,'All Summaries'!AP149,'All Summaries'!AP150,'All Summaries'!AP151,'All Summaries'!AP152,'All Summaries'!AP153)</f>
        <v>1204266</v>
      </c>
      <c r="J61" s="189">
        <f>SUM('All Summaries'!AN74,'All Summaries'!AN86,'All Summaries'!AN89,'All Summaries'!AN90,'All Summaries'!AN92,'All Summaries'!AN127,'All Summaries'!AN132,'All Summaries'!AN133,'All Summaries'!AN134,'All Summaries'!AN135,'All Summaries'!AN136,'All Summaries'!AN137,'All Summaries'!AN138,'All Summaries'!AN139,'All Summaries'!AN140,'All Summaries'!AN141,'All Summaries'!AN142,'All Summaries'!AN143,'All Summaries'!AN144,'All Summaries'!AN145,'All Summaries'!AN146,'All Summaries'!AN147,'All Summaries'!AN148,'All Summaries'!AN149,'All Summaries'!AN150,'All Summaries'!AN151,'All Summaries'!AN152,'All Summaries'!AN153)</f>
        <v>6074803.666666667</v>
      </c>
      <c r="K61" s="208">
        <f t="shared" si="15"/>
        <v>83.455764607180143</v>
      </c>
      <c r="L61" s="208">
        <f t="shared" si="16"/>
        <v>16.544228478017271</v>
      </c>
    </row>
    <row r="62" spans="1:12" ht="14.1" customHeight="1" x14ac:dyDescent="0.25">
      <c r="A62" s="175" t="s">
        <v>876</v>
      </c>
      <c r="B62">
        <v>1</v>
      </c>
      <c r="D62" t="s">
        <v>1511</v>
      </c>
      <c r="E62">
        <v>15</v>
      </c>
      <c r="F62">
        <v>11</v>
      </c>
      <c r="G62" s="208">
        <f t="shared" si="14"/>
        <v>73.333333333333329</v>
      </c>
      <c r="H62" s="189">
        <f>SUM('All Summaries'!AO66,'All Summaries'!AO68,'All Summaries'!AO69,'All Summaries'!AO70,'All Summaries'!AO71,'All Summaries'!AO76,'All Summaries'!AO77,'All Summaries'!AO78,'All Summaries'!AO79,'All Summaries'!AO80,'All Summaries'!AO84,'All Summaries'!AO85,'All Summaries'!AO93,'All Summaries'!AO96,'All Summaries'!AO110)</f>
        <v>5900770.1399999997</v>
      </c>
      <c r="I62" s="189">
        <f>SUM('All Summaries'!AP66,'All Summaries'!AP68,'All Summaries'!AP69,'All Summaries'!AP70,'All Summaries'!AP71,'All Summaries'!AP76,'All Summaries'!AP77,'All Summaries'!AP78,'All Summaries'!AP79,'All Summaries'!AP80,'All Summaries'!AP84,'All Summaries'!AP85,'All Summaries'!AP93,'All Summaries'!AP96,'All Summaries'!AP110)</f>
        <v>600894</v>
      </c>
      <c r="J62" s="189">
        <f>SUM('All Summaries'!AN66,'All Summaries'!AN68,'All Summaries'!AN69,'All Summaries'!AN70,'All Summaries'!AN71,'All Summaries'!AN76,'All Summaries'!AN77,'All Summaries'!AN78,'All Summaries'!AN79,'All Summaries'!AN80,'All Summaries'!AN84,'All Summaries'!AN85,'All Summaries'!AN93,'All Summaries'!AN96,'All Summaries'!AN110)</f>
        <v>5299876</v>
      </c>
      <c r="K62" s="208">
        <f t="shared" si="15"/>
        <v>89.816682810152642</v>
      </c>
      <c r="L62" s="208">
        <f t="shared" si="16"/>
        <v>10.183314817275699</v>
      </c>
    </row>
    <row r="63" spans="1:12" x14ac:dyDescent="0.25">
      <c r="A63" s="175" t="s">
        <v>1143</v>
      </c>
      <c r="B63">
        <v>1</v>
      </c>
      <c r="D63" t="s">
        <v>1208</v>
      </c>
      <c r="E63">
        <v>7</v>
      </c>
      <c r="F63">
        <v>7</v>
      </c>
      <c r="G63" s="208">
        <f t="shared" si="14"/>
        <v>100</v>
      </c>
      <c r="H63" s="189">
        <f>SUM('All Summaries'!AO169,'All Summaries'!AO170,'All Summaries'!AO171,'All Summaries'!AO172,'All Summaries'!AO173,'All Summaries'!AO174,'All Summaries'!AO175)</f>
        <v>3021792</v>
      </c>
      <c r="I63" s="189">
        <f>SUM('All Summaries'!AP169,'All Summaries'!AP170,'All Summaries'!AP171,'All Summaries'!AP172,'All Summaries'!AP173,'All Summaries'!AP174,'All Summaries'!AP175)</f>
        <v>0</v>
      </c>
      <c r="J63" s="189">
        <f>SUM('All Summaries'!AN169,'All Summaries'!AN170,'All Summaries'!AN171,'All Summaries'!AN172,'All Summaries'!AN173,'All Summaries'!AN174,'All Summaries'!AN175)</f>
        <v>3021792</v>
      </c>
      <c r="K63" s="208">
        <f t="shared" si="15"/>
        <v>100</v>
      </c>
      <c r="L63" s="208">
        <f t="shared" si="16"/>
        <v>0</v>
      </c>
    </row>
    <row r="64" spans="1:12" x14ac:dyDescent="0.25">
      <c r="A64" s="175" t="s">
        <v>408</v>
      </c>
      <c r="B64">
        <v>1</v>
      </c>
      <c r="E64">
        <f>SUM(E56:E63)</f>
        <v>172</v>
      </c>
      <c r="F64">
        <f>SUM(F56:F63)</f>
        <v>123</v>
      </c>
      <c r="G64" s="208">
        <f t="shared" si="14"/>
        <v>71.511627906976756</v>
      </c>
      <c r="H64" s="189">
        <f>SUM(H56:H63)</f>
        <v>57878208.640000001</v>
      </c>
      <c r="I64" s="189">
        <f>SUM(I56:I63)</f>
        <v>4658343</v>
      </c>
      <c r="J64" s="189">
        <f>SUM(J56:J63)</f>
        <v>53396501.996666662</v>
      </c>
      <c r="K64" s="208">
        <f t="shared" si="15"/>
        <v>92.25665971936111</v>
      </c>
      <c r="L64" s="208">
        <f t="shared" si="16"/>
        <v>8.0485265689107557</v>
      </c>
    </row>
    <row r="65" spans="1:12" x14ac:dyDescent="0.25">
      <c r="A65" s="175" t="s">
        <v>448</v>
      </c>
      <c r="B65">
        <v>1</v>
      </c>
    </row>
    <row r="66" spans="1:12" x14ac:dyDescent="0.25">
      <c r="A66" s="175" t="s">
        <v>1145</v>
      </c>
      <c r="B66">
        <v>1</v>
      </c>
    </row>
    <row r="67" spans="1:12" ht="48.95" customHeight="1" x14ac:dyDescent="0.25">
      <c r="A67" s="175" t="s">
        <v>1144</v>
      </c>
      <c r="B67">
        <v>1</v>
      </c>
      <c r="D67" s="774" t="s">
        <v>1531</v>
      </c>
      <c r="E67" t="s">
        <v>389</v>
      </c>
      <c r="F67" s="572" t="s">
        <v>1265</v>
      </c>
      <c r="G67" t="s">
        <v>1512</v>
      </c>
      <c r="H67" t="s">
        <v>1515</v>
      </c>
      <c r="I67" t="s">
        <v>1513</v>
      </c>
      <c r="J67" t="s">
        <v>1516</v>
      </c>
      <c r="K67" t="s">
        <v>1514</v>
      </c>
      <c r="L67" t="s">
        <v>1517</v>
      </c>
    </row>
    <row r="68" spans="1:12" x14ac:dyDescent="0.25">
      <c r="A68" s="175" t="s">
        <v>1147</v>
      </c>
      <c r="B68">
        <v>1</v>
      </c>
      <c r="D68" t="s">
        <v>1201</v>
      </c>
      <c r="E68">
        <v>57</v>
      </c>
      <c r="F68">
        <v>37</v>
      </c>
      <c r="G68" s="208">
        <f>(F68/E68)*100</f>
        <v>64.912280701754383</v>
      </c>
      <c r="H68" s="674">
        <f>SUM('All Summaries'!AW2:AW57,'All Summaries'!AW65)</f>
        <v>18555974.252020001</v>
      </c>
      <c r="I68" s="674">
        <f>SUM('All Summaries'!AX2:AX57,'All Summaries'!AX65)</f>
        <v>13077158</v>
      </c>
      <c r="J68" s="674">
        <f>SUM('All Summaries'!AY2:AY57,'All Summaries'!AY65)</f>
        <v>5467228</v>
      </c>
      <c r="K68" s="208">
        <f>(I68/H68)*100</f>
        <v>70.474111584717363</v>
      </c>
      <c r="L68" s="208">
        <f>(J68/H68)*100</f>
        <v>29.463438166847201</v>
      </c>
    </row>
    <row r="69" spans="1:12" x14ac:dyDescent="0.25">
      <c r="A69" s="175" t="s">
        <v>1148</v>
      </c>
      <c r="B69">
        <v>1</v>
      </c>
      <c r="D69" t="s">
        <v>1202</v>
      </c>
      <c r="E69">
        <v>14</v>
      </c>
      <c r="F69">
        <v>9</v>
      </c>
      <c r="G69" s="208">
        <f t="shared" ref="G69:G76" si="17">(F69/E69)*100</f>
        <v>64.285714285714292</v>
      </c>
      <c r="H69" s="189">
        <f>SUM('All Summaries'!AW61,'All Summaries'!AW67,'All Summaries'!AW72,'All Summaries'!AW73,'All Summaries'!AW75,'All Summaries'!AW81,'All Summaries'!AW82,'All Summaries'!AW83,'All Summaries'!AW87,'All Summaries'!AW88,'All Summaries'!AW94,'All Summaries'!AW95,'All Summaries'!AW122,'All Summaries'!AW125)</f>
        <v>6467633.2710424997</v>
      </c>
      <c r="I69" s="189">
        <f>SUM('All Summaries'!AX61,'All Summaries'!AX67,'All Summaries'!AX72,'All Summaries'!AX73,'All Summaries'!AX75,'All Summaries'!AX81,'All Summaries'!AX82,'All Summaries'!AX83,'All Summaries'!AX87,'All Summaries'!AX88,'All Summaries'!AX94,'All Summaries'!AX95,'All Summaries'!AX122,'All Summaries'!AX125)</f>
        <v>4097281</v>
      </c>
      <c r="J69" s="189">
        <f>SUM('All Summaries'!AY61,'All Summaries'!AY67,'All Summaries'!AY72,'All Summaries'!AY73,'All Summaries'!AY75,'All Summaries'!AY81,'All Summaries'!AY82,'All Summaries'!AY83,'All Summaries'!AY87,'All Summaries'!AY88,'All Summaries'!AY94,'All Summaries'!AY95,'All Summaries'!AY122,'All Summaries'!AY125)</f>
        <v>2370356</v>
      </c>
      <c r="K69" s="208">
        <f t="shared" ref="K69:K76" si="18">(I69/H69)*100</f>
        <v>63.350546147146815</v>
      </c>
      <c r="L69" s="208">
        <f t="shared" ref="L69:L75" si="19">(J69/H69)*100</f>
        <v>36.649511508526352</v>
      </c>
    </row>
    <row r="70" spans="1:12" x14ac:dyDescent="0.25">
      <c r="A70" s="175" t="s">
        <v>1150</v>
      </c>
      <c r="B70">
        <v>1</v>
      </c>
      <c r="D70" t="s">
        <v>1510</v>
      </c>
      <c r="E70">
        <v>16</v>
      </c>
      <c r="F70">
        <v>6</v>
      </c>
      <c r="G70" s="208">
        <f t="shared" si="17"/>
        <v>37.5</v>
      </c>
      <c r="H70" s="189">
        <f>SUM('All Summaries'!AW58,'All Summaries'!AW60,'All Summaries'!AW154,'All Summaries'!AW155,'All Summaries'!AW156,'All Summaries'!AW157,'All Summaries'!AW158,'All Summaries'!AW159,'All Summaries'!AW160,'All Summaries'!AW161,'All Summaries'!AW162,'All Summaries'!AW163,'All Summaries'!AW164,'All Summaries'!AW165,'All Summaries'!AW167,'All Summaries'!AW168)</f>
        <v>6728618.5320759974</v>
      </c>
      <c r="I70" s="189">
        <f>SUM('All Summaries'!AX58,'All Summaries'!AX60,'All Summaries'!AX154,'All Summaries'!AX155,'All Summaries'!AX156,'All Summaries'!AX157,'All Summaries'!AX158,'All Summaries'!AX159,'All Summaries'!AX160,'All Summaries'!AX161,'All Summaries'!AX162,'All Summaries'!AX163,'All Summaries'!AX164,'All Summaries'!AX165,'All Summaries'!AX167,'All Summaries'!AX168)</f>
        <v>5001769</v>
      </c>
      <c r="J70" s="189">
        <f>SUM('All Summaries'!AY58,'All Summaries'!AY60,'All Summaries'!AY154,'All Summaries'!AY155,'All Summaries'!AY156,'All Summaries'!AY157,'All Summaries'!AY158,'All Summaries'!AY159,'All Summaries'!AY160,'All Summaries'!AY161,'All Summaries'!AY162,'All Summaries'!AY163,'All Summaries'!AY164,'All Summaries'!AY165,'All Summaries'!AY167,'All Summaries'!AY168)</f>
        <v>1880652</v>
      </c>
      <c r="K70" s="208">
        <f t="shared" si="18"/>
        <v>74.335749250103376</v>
      </c>
      <c r="L70" s="208">
        <f t="shared" si="19"/>
        <v>27.950046373334196</v>
      </c>
    </row>
    <row r="71" spans="1:12" x14ac:dyDescent="0.25">
      <c r="A71" s="175" t="s">
        <v>1149</v>
      </c>
      <c r="B71">
        <v>1</v>
      </c>
      <c r="D71" t="s">
        <v>1204</v>
      </c>
      <c r="E71">
        <v>3</v>
      </c>
      <c r="F71">
        <v>2</v>
      </c>
      <c r="G71" s="208">
        <f t="shared" si="17"/>
        <v>66.666666666666657</v>
      </c>
      <c r="H71" s="189">
        <f>SUM('All Summaries'!AW62,'All Summaries'!AW63,'All Summaries'!AW64)</f>
        <v>670038.78</v>
      </c>
      <c r="I71" s="189">
        <f>SUM('All Summaries'!AX62,'All Summaries'!AX63,'All Summaries'!AX64)</f>
        <v>541870</v>
      </c>
      <c r="J71" s="189">
        <f>SUM('All Summaries'!AY62,'All Summaries'!AY63,'All Summaries'!AY64)</f>
        <v>128166</v>
      </c>
      <c r="K71" s="208">
        <f t="shared" si="18"/>
        <v>80.871438515842314</v>
      </c>
      <c r="L71" s="208">
        <f t="shared" si="19"/>
        <v>19.128146582799282</v>
      </c>
    </row>
    <row r="72" spans="1:12" x14ac:dyDescent="0.25">
      <c r="A72" s="175" t="s">
        <v>614</v>
      </c>
      <c r="B72">
        <v>1</v>
      </c>
      <c r="D72" t="s">
        <v>1205</v>
      </c>
      <c r="E72">
        <v>32</v>
      </c>
      <c r="F72">
        <v>15</v>
      </c>
      <c r="G72" s="208">
        <f t="shared" si="17"/>
        <v>46.875</v>
      </c>
      <c r="H72" s="189">
        <f>SUM('All Summaries'!AW59,'All Summaries'!AW91,'All Summaries'!AW97,'All Summaries'!AW98,'All Summaries'!AW99,'All Summaries'!AW100,'All Summaries'!AW102,'All Summaries'!AW103,'All Summaries'!AW104,'All Summaries'!AW105,'All Summaries'!AW106,'All Summaries'!AW107,'All Summaries'!AW108,'All Summaries'!AW109,'All Summaries'!AW111,'All Summaries'!AW112,'All Summaries'!AW113,'All Summaries'!AW114,'All Summaries'!AW115,'All Summaries'!AW116,'All Summaries'!AW117,'All Summaries'!AW118,'All Summaries'!AW119,'All Summaries'!AW120,'All Summaries'!AW121,'All Summaries'!AW123,'All Summaries'!AW124,'All Summaries'!AW126,'All Summaries'!AW128,'All Summaries'!AW129,'All Summaries'!AW130,'All Summaries'!AW131)</f>
        <v>25660695.958930001</v>
      </c>
      <c r="I72" s="189">
        <f>SUM('All Summaries'!AX59,'All Summaries'!AX91,'All Summaries'!AX97,'All Summaries'!AX98,'All Summaries'!AX99,'All Summaries'!AX100,'All Summaries'!AX102,'All Summaries'!AX103,'All Summaries'!AX104,'All Summaries'!AX105,'All Summaries'!AX106,'All Summaries'!AX107,'All Summaries'!AX108,'All Summaries'!AX109,'All Summaries'!AX111,'All Summaries'!AX112,'All Summaries'!AX113,'All Summaries'!AX114,'All Summaries'!AX115,'All Summaries'!AX116,'All Summaries'!AX117,'All Summaries'!AX118,'All Summaries'!AX119,'All Summaries'!AX120,'All Summaries'!AX121,'All Summaries'!AX123,'All Summaries'!AX124,'All Summaries'!AX126,'All Summaries'!AX128,'All Summaries'!AX129,'All Summaries'!AX130,'All Summaries'!AX131)</f>
        <v>19672896</v>
      </c>
      <c r="J72" s="189">
        <f>SUM('All Summaries'!AY59,'All Summaries'!AY91,'All Summaries'!AY97,'All Summaries'!AY98,'All Summaries'!AY99,'All Summaries'!AY100,'All Summaries'!AY102,'All Summaries'!AY103,'All Summaries'!AY104,'All Summaries'!AY105,'All Summaries'!AY106,'All Summaries'!AY107,'All Summaries'!AY108,'All Summaries'!AY109,'All Summaries'!AY111,'All Summaries'!AY112,'All Summaries'!AY113,'All Summaries'!AY114,'All Summaries'!AY115,'All Summaries'!AY116,'All Summaries'!AY117,'All Summaries'!AY118,'All Summaries'!AY119,'All Summaries'!AY120,'All Summaries'!AY121,'All Summaries'!AY123,'All Summaries'!AY124,'All Summaries'!AY126,'All Summaries'!AY128,'All Summaries'!AY129,'All Summaries'!AY130,'All Summaries'!AY131)</f>
        <v>6155236</v>
      </c>
      <c r="K72" s="208">
        <f t="shared" si="18"/>
        <v>76.66548105899588</v>
      </c>
      <c r="L72" s="208">
        <f t="shared" si="19"/>
        <v>23.987018940762436</v>
      </c>
    </row>
    <row r="73" spans="1:12" x14ac:dyDescent="0.25">
      <c r="A73" s="175" t="s">
        <v>1116</v>
      </c>
      <c r="B73">
        <v>1</v>
      </c>
      <c r="D73" t="s">
        <v>1206</v>
      </c>
      <c r="E73">
        <v>28</v>
      </c>
      <c r="F73">
        <v>22</v>
      </c>
      <c r="G73" s="208">
        <f t="shared" si="17"/>
        <v>78.571428571428569</v>
      </c>
      <c r="H73" s="189">
        <f>SUM('All Summaries'!AW74,'All Summaries'!AW86,'All Summaries'!AW89,'All Summaries'!AW90,'All Summaries'!AW92,'All Summaries'!AW127,'All Summaries'!AW132,'All Summaries'!AW133,'All Summaries'!AW134,'All Summaries'!AW135,'All Summaries'!AW136,'All Summaries'!AW137,'All Summaries'!AW138,'All Summaries'!AW139,'All Summaries'!AW140,'All Summaries'!AW141,'All Summaries'!AW142,'All Summaries'!AW143,'All Summaries'!AW144,'All Summaries'!AW145,'All Summaries'!AW146,'All Summaries'!AW147,'All Summaries'!AW148,'All Summaries'!AW149,'All Summaries'!AW150,'All Summaries'!AW151,'All Summaries'!AW152,'All Summaries'!AW153)</f>
        <v>10060882.636635996</v>
      </c>
      <c r="I73" s="189">
        <f>SUM('All Summaries'!AX74,'All Summaries'!AX86,'All Summaries'!AX89,'All Summaries'!AX90,'All Summaries'!AX92,'All Summaries'!AX127,'All Summaries'!AX132,'All Summaries'!AX133,'All Summaries'!AX134,'All Summaries'!AX135,'All Summaries'!AX136,'All Summaries'!AX137,'All Summaries'!AX138,'All Summaries'!AX139,'All Summaries'!AX140,'All Summaries'!AX141,'All Summaries'!AX142,'All Summaries'!AX143,'All Summaries'!AX144,'All Summaries'!AX145,'All Summaries'!AX146,'All Summaries'!AX147,'All Summaries'!AX148,'All Summaries'!AX149,'All Summaries'!AX150,'All Summaries'!AX151,'All Summaries'!AX152,'All Summaries'!AX153)</f>
        <v>8356545</v>
      </c>
      <c r="J73" s="189">
        <f>SUM('All Summaries'!AY74,'All Summaries'!AY86,'All Summaries'!AY89,'All Summaries'!AY90,'All Summaries'!AY92,'All Summaries'!AY127,'All Summaries'!AY132,'All Summaries'!AY133,'All Summaries'!AY134,'All Summaries'!AY135,'All Summaries'!AY136,'All Summaries'!AY137,'All Summaries'!AY138,'All Summaries'!AY139,'All Summaries'!AY140,'All Summaries'!AY141,'All Summaries'!AY142,'All Summaries'!AY143,'All Summaries'!AY144,'All Summaries'!AY145,'All Summaries'!AY146,'All Summaries'!AY147,'All Summaries'!AY148,'All Summaries'!AY149,'All Summaries'!AY150,'All Summaries'!AY151,'All Summaries'!AY152,'All Summaries'!AY153)</f>
        <v>1671486</v>
      </c>
      <c r="K73" s="208">
        <f t="shared" si="18"/>
        <v>83.05976027958252</v>
      </c>
      <c r="L73" s="208">
        <f t="shared" si="19"/>
        <v>16.613711344901304</v>
      </c>
    </row>
    <row r="74" spans="1:12" x14ac:dyDescent="0.25">
      <c r="A74" s="175" t="s">
        <v>9</v>
      </c>
      <c r="B74">
        <v>4</v>
      </c>
      <c r="D74" t="s">
        <v>1511</v>
      </c>
      <c r="E74">
        <v>15</v>
      </c>
      <c r="F74">
        <v>12</v>
      </c>
      <c r="G74" s="208">
        <f t="shared" si="17"/>
        <v>80</v>
      </c>
      <c r="H74" s="189">
        <f>SUM('All Summaries'!AW66,'All Summaries'!AW68,'All Summaries'!AW69,'All Summaries'!AW70,'All Summaries'!AW71,'All Summaries'!AW76,'All Summaries'!AW77,'All Summaries'!AW78,'All Summaries'!AW79,'All Summaries'!AW80,'All Summaries'!AW84,'All Summaries'!AW85,'All Summaries'!AW93,'All Summaries'!AW96,'All Summaries'!AW110)</f>
        <v>6671349.4192294581</v>
      </c>
      <c r="I74" s="189">
        <f>SUM('All Summaries'!AX66,'All Summaries'!AX68,'All Summaries'!AX69,'All Summaries'!AX70,'All Summaries'!AX71,'All Summaries'!AX76,'All Summaries'!AX77,'All Summaries'!AX78,'All Summaries'!AX79,'All Summaries'!AX80,'All Summaries'!AX84,'All Summaries'!AX85,'All Summaries'!AX93,'All Summaries'!AX96,'All Summaries'!AX110)</f>
        <v>6513836</v>
      </c>
      <c r="J74" s="189">
        <f>SUM('All Summaries'!AY66,'All Summaries'!AY68,'All Summaries'!AY69,'All Summaries'!AY70,'All Summaries'!AY71,'All Summaries'!AY76,'All Summaries'!AY77,'All Summaries'!AY78,'All Summaries'!AY79,'All Summaries'!AY80,'All Summaries'!AY84,'All Summaries'!AY85,'All Summaries'!AY93,'All Summaries'!AY96,'All Summaries'!AY110)</f>
        <v>157423</v>
      </c>
      <c r="K74" s="208">
        <f t="shared" si="18"/>
        <v>97.638957138484713</v>
      </c>
      <c r="L74" s="208">
        <f t="shared" si="19"/>
        <v>2.359687525079182</v>
      </c>
    </row>
    <row r="75" spans="1:12" x14ac:dyDescent="0.25">
      <c r="A75" s="175" t="s">
        <v>886</v>
      </c>
      <c r="B75">
        <v>2</v>
      </c>
      <c r="D75" t="s">
        <v>1208</v>
      </c>
      <c r="E75">
        <v>7</v>
      </c>
      <c r="F75">
        <v>4</v>
      </c>
      <c r="G75" s="208">
        <f t="shared" si="17"/>
        <v>57.142857142857139</v>
      </c>
      <c r="H75" s="189">
        <f>SUM('All Summaries'!AW169,'All Summaries'!AW170,'All Summaries'!AW171,'All Summaries'!AW172,'All Summaries'!AW173,'All Summaries'!AW174,'All Summaries'!AW175)</f>
        <v>4420126.5731642479</v>
      </c>
      <c r="I75" s="189">
        <f>SUM('All Summaries'!AX169,'All Summaries'!AX170,'All Summaries'!AX171,'All Summaries'!AX172,'All Summaries'!AX173,'All Summaries'!AX174,'All Summaries'!AX175)</f>
        <v>3144419</v>
      </c>
      <c r="J75" s="189">
        <f>SUM('All Summaries'!AY169,'All Summaries'!AY170,'All Summaries'!AY171,'All Summaries'!AY172,'All Summaries'!AY173,'All Summaries'!AY174,'All Summaries'!AY175)</f>
        <v>1256074</v>
      </c>
      <c r="K75" s="208">
        <f t="shared" si="18"/>
        <v>71.138664197776507</v>
      </c>
      <c r="L75" s="208">
        <f t="shared" si="19"/>
        <v>28.41715003425368</v>
      </c>
    </row>
    <row r="76" spans="1:12" x14ac:dyDescent="0.25">
      <c r="A76" s="175" t="s">
        <v>1151</v>
      </c>
      <c r="B76">
        <v>1</v>
      </c>
      <c r="E76">
        <v>172</v>
      </c>
      <c r="F76">
        <f>SUM(F68:F75)</f>
        <v>107</v>
      </c>
      <c r="G76" s="208">
        <f t="shared" si="17"/>
        <v>62.209302325581397</v>
      </c>
      <c r="H76" s="189">
        <f>SUM(H68:H75)</f>
        <v>79235319.423098221</v>
      </c>
      <c r="I76" s="189">
        <f>SUM(I68:I75)</f>
        <v>60405774</v>
      </c>
      <c r="J76" s="189">
        <f>SUM(J68:J75)</f>
        <v>19086621</v>
      </c>
      <c r="K76" s="208">
        <f t="shared" si="18"/>
        <v>76.235919082306197</v>
      </c>
      <c r="L76" s="208">
        <f>(J76/H76)*100</f>
        <v>24.088526605265351</v>
      </c>
    </row>
    <row r="77" spans="1:12" x14ac:dyDescent="0.25">
      <c r="A77" s="175" t="s">
        <v>355</v>
      </c>
      <c r="B77">
        <v>3</v>
      </c>
    </row>
    <row r="78" spans="1:12" x14ac:dyDescent="0.25">
      <c r="A78" s="175" t="s">
        <v>457</v>
      </c>
      <c r="B78">
        <v>5</v>
      </c>
    </row>
    <row r="79" spans="1:12" x14ac:dyDescent="0.25">
      <c r="A79" s="175" t="s">
        <v>880</v>
      </c>
      <c r="B79">
        <v>1</v>
      </c>
    </row>
    <row r="80" spans="1:12" x14ac:dyDescent="0.25">
      <c r="A80" s="175" t="s">
        <v>769</v>
      </c>
      <c r="B80">
        <v>1</v>
      </c>
    </row>
    <row r="81" spans="1:2" x14ac:dyDescent="0.25">
      <c r="A81" s="175" t="s">
        <v>940</v>
      </c>
      <c r="B81">
        <v>1</v>
      </c>
    </row>
    <row r="82" spans="1:2" x14ac:dyDescent="0.25">
      <c r="A82" s="175" t="s">
        <v>1152</v>
      </c>
      <c r="B82">
        <v>1</v>
      </c>
    </row>
    <row r="83" spans="1:2" x14ac:dyDescent="0.25">
      <c r="A83" s="175" t="s">
        <v>953</v>
      </c>
      <c r="B83">
        <v>1</v>
      </c>
    </row>
    <row r="84" spans="1:2" x14ac:dyDescent="0.25">
      <c r="A84" s="175" t="s">
        <v>1155</v>
      </c>
      <c r="B84">
        <v>1</v>
      </c>
    </row>
    <row r="85" spans="1:2" x14ac:dyDescent="0.25">
      <c r="A85" s="175" t="s">
        <v>943</v>
      </c>
      <c r="B85">
        <v>5</v>
      </c>
    </row>
    <row r="86" spans="1:2" x14ac:dyDescent="0.25">
      <c r="A86" s="175" t="s">
        <v>1156</v>
      </c>
      <c r="B86">
        <v>3</v>
      </c>
    </row>
    <row r="87" spans="1:2" x14ac:dyDescent="0.25">
      <c r="A87" s="175" t="s">
        <v>817</v>
      </c>
      <c r="B87">
        <v>2</v>
      </c>
    </row>
    <row r="88" spans="1:2" x14ac:dyDescent="0.25">
      <c r="A88" s="175" t="s">
        <v>1159</v>
      </c>
      <c r="B88">
        <v>11</v>
      </c>
    </row>
    <row r="89" spans="1:2" x14ac:dyDescent="0.25">
      <c r="A89" s="175" t="s">
        <v>1164</v>
      </c>
      <c r="B89">
        <v>1</v>
      </c>
    </row>
    <row r="90" spans="1:2" x14ac:dyDescent="0.25">
      <c r="A90" s="175" t="s">
        <v>1135</v>
      </c>
      <c r="B90">
        <v>3</v>
      </c>
    </row>
    <row r="91" spans="1:2" x14ac:dyDescent="0.25">
      <c r="A91" s="175" t="s">
        <v>347</v>
      </c>
      <c r="B91">
        <v>1</v>
      </c>
    </row>
    <row r="92" spans="1:2" x14ac:dyDescent="0.25">
      <c r="A92" s="175" t="s">
        <v>1167</v>
      </c>
      <c r="B92">
        <v>1</v>
      </c>
    </row>
    <row r="93" spans="1:2" x14ac:dyDescent="0.25">
      <c r="A93" s="175" t="s">
        <v>1168</v>
      </c>
      <c r="B93">
        <v>1</v>
      </c>
    </row>
    <row r="94" spans="1:2" x14ac:dyDescent="0.25">
      <c r="A94" s="175" t="s">
        <v>1169</v>
      </c>
      <c r="B94">
        <v>2</v>
      </c>
    </row>
    <row r="95" spans="1:2" x14ac:dyDescent="0.25">
      <c r="A95" s="175" t="s">
        <v>1170</v>
      </c>
      <c r="B95">
        <v>1</v>
      </c>
    </row>
    <row r="96" spans="1:2" x14ac:dyDescent="0.25">
      <c r="A96" s="175" t="s">
        <v>1171</v>
      </c>
      <c r="B96">
        <v>1</v>
      </c>
    </row>
    <row r="97" spans="1:2" x14ac:dyDescent="0.25">
      <c r="A97" s="175" t="s">
        <v>1172</v>
      </c>
      <c r="B97">
        <v>1</v>
      </c>
    </row>
    <row r="98" spans="1:2" x14ac:dyDescent="0.25">
      <c r="A98" s="175" t="s">
        <v>1176</v>
      </c>
      <c r="B98">
        <v>1</v>
      </c>
    </row>
    <row r="99" spans="1:2" x14ac:dyDescent="0.25">
      <c r="A99" s="175" t="s">
        <v>898</v>
      </c>
      <c r="B99">
        <v>1</v>
      </c>
    </row>
    <row r="100" spans="1:2" x14ac:dyDescent="0.25">
      <c r="A100" s="175" t="s">
        <v>1173</v>
      </c>
      <c r="B100">
        <v>5</v>
      </c>
    </row>
    <row r="101" spans="1:2" x14ac:dyDescent="0.25">
      <c r="A101" s="175" t="s">
        <v>1175</v>
      </c>
      <c r="B101">
        <v>1</v>
      </c>
    </row>
    <row r="102" spans="1:2" x14ac:dyDescent="0.25">
      <c r="A102" s="175" t="s">
        <v>1177</v>
      </c>
      <c r="B102">
        <v>1</v>
      </c>
    </row>
    <row r="103" spans="1:2" x14ac:dyDescent="0.25">
      <c r="A103" s="175" t="s">
        <v>1166</v>
      </c>
      <c r="B103">
        <v>2</v>
      </c>
    </row>
    <row r="104" spans="1:2" x14ac:dyDescent="0.25">
      <c r="A104" s="175" t="s">
        <v>1178</v>
      </c>
      <c r="B104">
        <v>1</v>
      </c>
    </row>
    <row r="105" spans="1:2" x14ac:dyDescent="0.25">
      <c r="A105" s="175" t="s">
        <v>1179</v>
      </c>
      <c r="B105">
        <v>1</v>
      </c>
    </row>
    <row r="106" spans="1:2" x14ac:dyDescent="0.25">
      <c r="A106" s="175" t="s">
        <v>58</v>
      </c>
      <c r="B106">
        <v>4</v>
      </c>
    </row>
    <row r="107" spans="1:2" x14ac:dyDescent="0.25">
      <c r="A107" s="175" t="s">
        <v>656</v>
      </c>
      <c r="B107">
        <v>2</v>
      </c>
    </row>
    <row r="108" spans="1:2" ht="17.100000000000001" customHeight="1" x14ac:dyDescent="0.25">
      <c r="A108" s="175" t="s">
        <v>1183</v>
      </c>
      <c r="B108">
        <v>3</v>
      </c>
    </row>
    <row r="109" spans="1:2" x14ac:dyDescent="0.25">
      <c r="A109" s="175" t="s">
        <v>1184</v>
      </c>
      <c r="B109">
        <v>2</v>
      </c>
    </row>
    <row r="110" spans="1:2" x14ac:dyDescent="0.25">
      <c r="A110" s="175" t="s">
        <v>1185</v>
      </c>
      <c r="B110">
        <v>3</v>
      </c>
    </row>
    <row r="111" spans="1:2" x14ac:dyDescent="0.25">
      <c r="A111" s="175" t="s">
        <v>1187</v>
      </c>
      <c r="B111">
        <v>5</v>
      </c>
    </row>
    <row r="112" spans="1:2" ht="16.5" customHeight="1" x14ac:dyDescent="0.25">
      <c r="A112" s="175" t="s">
        <v>1191</v>
      </c>
      <c r="B112">
        <v>1</v>
      </c>
    </row>
    <row r="113" spans="1:2" ht="15" customHeight="1" x14ac:dyDescent="0.25">
      <c r="A113" s="175" t="s">
        <v>1189</v>
      </c>
      <c r="B113">
        <v>7</v>
      </c>
    </row>
    <row r="114" spans="1:2" x14ac:dyDescent="0.25">
      <c r="A114" s="175" t="s">
        <v>1158</v>
      </c>
      <c r="B114">
        <v>1</v>
      </c>
    </row>
    <row r="115" spans="1:2" ht="15" customHeight="1" x14ac:dyDescent="0.25">
      <c r="A115" s="175" t="s">
        <v>1193</v>
      </c>
      <c r="B115">
        <v>1</v>
      </c>
    </row>
    <row r="116" spans="1:2" x14ac:dyDescent="0.25">
      <c r="A116" s="175" t="s">
        <v>1192</v>
      </c>
      <c r="B116">
        <v>1</v>
      </c>
    </row>
    <row r="117" spans="1:2" x14ac:dyDescent="0.25">
      <c r="A117" s="175" t="s">
        <v>1197</v>
      </c>
      <c r="B117">
        <v>1</v>
      </c>
    </row>
    <row r="118" spans="1:2" x14ac:dyDescent="0.25">
      <c r="B118">
        <f>SUM(B2:B117)</f>
        <v>274</v>
      </c>
    </row>
  </sheetData>
  <autoFilter ref="A1:B118">
    <sortState ref="A2:B118">
      <sortCondition ref="A1:A119"/>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C13" zoomScale="80" zoomScaleNormal="80" workbookViewId="0">
      <selection activeCell="H35" sqref="H20:H35"/>
    </sheetView>
  </sheetViews>
  <sheetFormatPr defaultRowHeight="15" x14ac:dyDescent="0.25"/>
  <cols>
    <col min="1" max="1" width="22.42578125" customWidth="1"/>
    <col min="2" max="2" width="13.85546875" customWidth="1"/>
    <col min="3" max="3" width="15.5703125" bestFit="1" customWidth="1"/>
    <col min="4" max="4" width="18.42578125" customWidth="1"/>
    <col min="5" max="5" width="15" customWidth="1"/>
    <col min="6" max="7" width="16.5703125" customWidth="1"/>
    <col min="8" max="8" width="13.28515625" customWidth="1"/>
    <col min="9" max="9" width="14.42578125" customWidth="1"/>
  </cols>
  <sheetData>
    <row r="1" spans="1:7" ht="44.1" thickBot="1" x14ac:dyDescent="0.4">
      <c r="A1" s="79" t="s">
        <v>1</v>
      </c>
      <c r="B1" s="80" t="s">
        <v>389</v>
      </c>
      <c r="C1" s="80" t="s">
        <v>390</v>
      </c>
      <c r="D1" s="80" t="s">
        <v>1270</v>
      </c>
      <c r="E1" s="80" t="s">
        <v>1271</v>
      </c>
      <c r="F1" s="81" t="s">
        <v>1272</v>
      </c>
      <c r="G1" s="285"/>
    </row>
    <row r="2" spans="1:7" ht="14.45" x14ac:dyDescent="0.35">
      <c r="A2" s="82" t="s">
        <v>120</v>
      </c>
      <c r="B2" s="83">
        <v>1</v>
      </c>
      <c r="C2" s="83">
        <v>1</v>
      </c>
      <c r="D2" s="252">
        <f>SUM('All Summaries'!AM19)</f>
        <v>515685</v>
      </c>
      <c r="E2" s="256">
        <v>0</v>
      </c>
      <c r="F2" s="257">
        <f>'All Summaries'!Z19</f>
        <v>3663</v>
      </c>
      <c r="G2" s="286"/>
    </row>
    <row r="3" spans="1:7" ht="14.45" x14ac:dyDescent="0.35">
      <c r="A3" s="84" t="s">
        <v>753</v>
      </c>
      <c r="B3" s="85">
        <v>15</v>
      </c>
      <c r="C3" s="85">
        <v>6</v>
      </c>
      <c r="D3" s="264">
        <f>SUM('All Summaries'!AM2,'All Summaries'!AM5,'All Summaries'!AM7,'All Summaries'!AM9,'All Summaries'!AM18,'All Summaries'!AM20,'All Summaries'!AM27,'All Summaries'!AM30,'All Summaries'!AM31,'All Summaries'!AM35,'All Summaries'!AM38,'All Summaries'!AM39,'All Summaries'!AM40,'All Summaries'!AM47,'All Summaries'!AM54)</f>
        <v>168825683.83000001</v>
      </c>
      <c r="E3" s="258">
        <f>SUM('All Summaries'!Z5,'All Summaries'!Z7,'All Summaries'!Z18,'All Summaries'!Z20,'All Summaries'!Z27,'All Summaries'!Z30,'All Summaries'!Z31,'All Summaries'!Z35,'All Summaries'!Z38,'All Summaries'!Z39,'All Summaries'!Z40,'All Summaries'!Z47,'All Summaries'!Z54)</f>
        <v>38314</v>
      </c>
      <c r="F3" s="259">
        <f>SUM('All Summaries'!Z2)</f>
        <v>8259</v>
      </c>
      <c r="G3" s="286"/>
    </row>
    <row r="4" spans="1:7" ht="14.45" x14ac:dyDescent="0.35">
      <c r="A4" s="84" t="s">
        <v>17</v>
      </c>
      <c r="B4" s="85">
        <v>17</v>
      </c>
      <c r="C4" s="85">
        <v>6</v>
      </c>
      <c r="D4" s="254">
        <f>SUM('All Summaries'!AM3,'All Summaries'!AM4,'All Summaries'!AM6,'All Summaries'!AM13,'All Summaries'!AM16,'All Summaries'!AM17,'All Summaries'!AM21,'All Summaries'!AM22,'All Summaries'!AM23,'All Summaries'!AM24,'All Summaries'!AM25,'All Summaries'!AM26,'All Summaries'!AM28,'All Summaries'!AM32,'All Summaries'!AM33,'All Summaries'!AM48,'All Summaries'!AM57)</f>
        <v>167151818.28</v>
      </c>
      <c r="E4" s="258">
        <f>SUM('All Summaries'!Z4,'All Summaries'!Z13,'All Summaries'!Z21,'All Summaries'!Z23,'All Summaries'!Z24,'All Summaries'!Z25,'All Summaries'!Z26,'All Summaries'!Z28,'All Summaries'!Z32,'All Summaries'!Z33,'All Summaries'!Z57)</f>
        <v>10450</v>
      </c>
      <c r="F4" s="259">
        <f>SUM('All Summaries'!Z3,'All Summaries'!Z6,'All Summaries'!Z17,'All Summaries'!Z22,'All Summaries'!Z48)</f>
        <v>36850</v>
      </c>
      <c r="G4" s="286"/>
    </row>
    <row r="5" spans="1:7" ht="14.45" x14ac:dyDescent="0.35">
      <c r="A5" s="84" t="s">
        <v>354</v>
      </c>
      <c r="B5" s="85">
        <v>1</v>
      </c>
      <c r="C5" s="85">
        <v>1</v>
      </c>
      <c r="D5" s="253">
        <f>SUM('All Summaries'!AM12)</f>
        <v>230392</v>
      </c>
      <c r="E5" s="258">
        <f>SUM('All Summaries'!Z12)</f>
        <v>22</v>
      </c>
      <c r="F5" s="259">
        <v>0</v>
      </c>
      <c r="G5" s="286"/>
    </row>
    <row r="6" spans="1:7" ht="14.45" x14ac:dyDescent="0.35">
      <c r="A6" s="90" t="s">
        <v>51</v>
      </c>
      <c r="B6" s="85">
        <v>14</v>
      </c>
      <c r="C6" s="85">
        <v>10</v>
      </c>
      <c r="D6" s="253">
        <f>SUM('All Summaries'!AM8,'All Summaries'!AM10,'All Summaries'!AM11,'All Summaries'!AM14,'All Summaries'!AM15,'All Summaries'!AM29,'All Summaries'!AM36,'All Summaries'!AM41,'All Summaries'!AM44,'All Summaries'!AM45,'All Summaries'!AM46,'All Summaries'!AM50,'All Summaries'!AM53,'All Summaries'!AM56)</f>
        <v>171942521</v>
      </c>
      <c r="E6" s="258">
        <f>SUM('All Summaries'!Z14,'All Summaries'!Z15,'All Summaries'!Z29,'All Summaries'!Z36,'All Summaries'!Z41,'All Summaries'!Z44,'All Summaries'!Z45,'All Summaries'!Z46,'All Summaries'!Z53,'All Summaries'!Z56)</f>
        <v>36480</v>
      </c>
      <c r="F6" s="259">
        <f>SUM('All Summaries'!Z50)</f>
        <v>4224</v>
      </c>
      <c r="G6" s="286"/>
    </row>
    <row r="7" spans="1:7" ht="14.45" x14ac:dyDescent="0.35">
      <c r="A7" s="84" t="s">
        <v>1269</v>
      </c>
      <c r="B7" s="85">
        <v>8</v>
      </c>
      <c r="C7" s="85">
        <v>7</v>
      </c>
      <c r="D7" s="253">
        <f>SUM('All Summaries'!AM37,'All Summaries'!AM42,'All Summaries'!AM43,'All Summaries'!AM49,'All Summaries'!AM51,'All Summaries'!AM52,'All Summaries'!AM55,'All Summaries'!AM65)</f>
        <v>69785362.480000004</v>
      </c>
      <c r="E7" s="258">
        <f>SUM('All Summaries'!Z37,'All Summaries'!Z42,'All Summaries'!Z43,'All Summaries'!Z52,'All Summaries'!Z55)</f>
        <v>6684</v>
      </c>
      <c r="F7" s="259">
        <f>SUM('All Summaries'!Z49,'All Summaries'!Z51,'All Summaries'!Z65)</f>
        <v>18768</v>
      </c>
      <c r="G7" s="286"/>
    </row>
    <row r="8" spans="1:7" thickBot="1" x14ac:dyDescent="0.4">
      <c r="A8" s="84" t="s">
        <v>1025</v>
      </c>
      <c r="B8" s="85">
        <v>1</v>
      </c>
      <c r="C8" s="85">
        <v>1</v>
      </c>
      <c r="D8" s="253">
        <f>SUM('All Summaries'!AM34)</f>
        <v>4652262</v>
      </c>
      <c r="E8" s="258">
        <f>SUM('All Summaries'!Z34)</f>
        <v>3750</v>
      </c>
      <c r="F8" s="259">
        <v>0</v>
      </c>
      <c r="G8" s="286"/>
    </row>
    <row r="9" spans="1:7" thickBot="1" x14ac:dyDescent="0.4">
      <c r="A9" s="91" t="s">
        <v>391</v>
      </c>
      <c r="B9" s="92">
        <f>SUM(B2:B8)</f>
        <v>57</v>
      </c>
      <c r="C9" s="92">
        <f>SUM(C2:C8)</f>
        <v>32</v>
      </c>
      <c r="D9" s="255">
        <f>SUM(D2:D8)</f>
        <v>583103724.59000003</v>
      </c>
      <c r="E9" s="93">
        <f>SUM(E2:E8)</f>
        <v>95700</v>
      </c>
      <c r="F9" s="94">
        <f>SUM(F2:F8)</f>
        <v>71764</v>
      </c>
      <c r="G9" s="287"/>
    </row>
    <row r="10" spans="1:7" ht="14.45" x14ac:dyDescent="0.35">
      <c r="G10" s="177"/>
    </row>
    <row r="11" spans="1:7" thickBot="1" x14ac:dyDescent="0.4">
      <c r="G11" s="177"/>
    </row>
    <row r="12" spans="1:7" ht="25.5" customHeight="1" thickBot="1" x14ac:dyDescent="0.4">
      <c r="A12" s="95" t="s">
        <v>392</v>
      </c>
      <c r="B12" s="96" t="s">
        <v>754</v>
      </c>
      <c r="C12" s="96" t="s">
        <v>755</v>
      </c>
      <c r="D12" s="96" t="s">
        <v>756</v>
      </c>
      <c r="E12" s="97" t="s">
        <v>569</v>
      </c>
      <c r="G12" s="177"/>
    </row>
    <row r="13" spans="1:7" ht="14.45" x14ac:dyDescent="0.35">
      <c r="A13" s="98" t="s">
        <v>189</v>
      </c>
      <c r="B13" s="260">
        <f>SUM('All Summaries'!S4,'All Summaries'!S5,'All Summaries'!S7,'All Summaries'!S12,'All Summaries'!S13,'All Summaries'!S14,'All Summaries'!S15,'All Summaries'!S18,'All Summaries'!S20,'All Summaries'!S21,'All Summaries'!S23,'All Summaries'!S24,'All Summaries'!S25,'All Summaries'!S26,'All Summaries'!S27,'All Summaries'!S28,'All Summaries'!S29,'All Summaries'!S30,'All Summaries'!S31,'All Summaries'!S32,'All Summaries'!S33,'All Summaries'!S34,'All Summaries'!S35,'All Summaries'!S36,'All Summaries'!S37,'All Summaries'!S38,'All Summaries'!S39,'All Summaries'!S40,'All Summaries'!S41,'All Summaries'!S42,'All Summaries'!S43,'All Summaries'!S44,'All Summaries'!S45,'All Summaries'!S46,'All Summaries'!S47,'All Summaries'!S52,'All Summaries'!S53,'All Summaries'!S54,'All Summaries'!S55,'All Summaries'!S56,'All Summaries'!S57)</f>
        <v>25810</v>
      </c>
      <c r="C13" s="260">
        <f>SUM('All Summaries'!U4,'All Summaries'!U5,'All Summaries'!U7,'All Summaries'!U12,'All Summaries'!U13,'All Summaries'!U14,'All Summaries'!U15,'All Summaries'!U18,'All Summaries'!U20,'All Summaries'!U21,'All Summaries'!U23,'All Summaries'!U24,'All Summaries'!U25,'All Summaries'!U26,'All Summaries'!U27,'All Summaries'!U28,'All Summaries'!U29,'All Summaries'!U30,'All Summaries'!U31,'All Summaries'!U32,'All Summaries'!U33,'All Summaries'!U34,'All Summaries'!U35,'All Summaries'!U36,'All Summaries'!U37,'All Summaries'!U38,'All Summaries'!U39,'All Summaries'!U40,'All Summaries'!U41,'All Summaries'!U42,'All Summaries'!U43,'All Summaries'!U44,'All Summaries'!U45,'All Summaries'!U46,'All Summaries'!U47,'All Summaries'!U52,'All Summaries'!U53,'All Summaries'!U54,'All Summaries'!U55,'All Summaries'!U56,'All Summaries'!U57)</f>
        <v>33154</v>
      </c>
      <c r="D13" s="260">
        <f>SUM('All Summaries'!W4,'All Summaries'!W5,'All Summaries'!W7,'All Summaries'!W12,'All Summaries'!W13,'All Summaries'!W14,'All Summaries'!W15,'All Summaries'!W18,'All Summaries'!W20,'All Summaries'!W21,'All Summaries'!W23,'All Summaries'!W24,'All Summaries'!W25,'All Summaries'!W26,'All Summaries'!W27,'All Summaries'!W28,'All Summaries'!W29,'All Summaries'!W30,'All Summaries'!W31,'All Summaries'!W32,'All Summaries'!W33,'All Summaries'!W34,'All Summaries'!W35,'All Summaries'!W36,'All Summaries'!W37,'All Summaries'!W38,'All Summaries'!W39,'All Summaries'!W40,'All Summaries'!W41,'All Summaries'!W42,'All Summaries'!W43,'All Summaries'!W44,'All Summaries'!W45,'All Summaries'!W46,'All Summaries'!W47,'All Summaries'!W52,'All Summaries'!W53,'All Summaries'!W54,'All Summaries'!W55,'All Summaries'!W56,'All Summaries'!W57)</f>
        <v>36736</v>
      </c>
      <c r="E13" s="265">
        <f>SUM(B13:D13)</f>
        <v>95700</v>
      </c>
    </row>
    <row r="14" spans="1:7" thickBot="1" x14ac:dyDescent="0.4">
      <c r="A14" s="99" t="s">
        <v>111</v>
      </c>
      <c r="B14" s="261">
        <f>SUM('All Summaries'!S2,'All Summaries'!S3,'All Summaries'!S6,'All Summaries'!S17,'All Summaries'!S19,'All Summaries'!S22,'All Summaries'!S48,'All Summaries'!S49,'All Summaries'!S50,'All Summaries'!S51,'All Summaries'!S65)</f>
        <v>18499</v>
      </c>
      <c r="C14" s="261">
        <f>SUM('All Summaries'!U2,'All Summaries'!U3,'All Summaries'!U6,'All Summaries'!U17,'All Summaries'!U19,'All Summaries'!U22,'All Summaries'!U48,'All Summaries'!U49,'All Summaries'!U50,'All Summaries'!U51,'All Summaries'!U65)</f>
        <v>25143</v>
      </c>
      <c r="D14" s="261">
        <f>SUM('All Summaries'!W2,'All Summaries'!W3,'All Summaries'!W6,'All Summaries'!W17,'All Summaries'!W19,'All Summaries'!W22,'All Summaries'!W48,'All Summaries'!W49,'All Summaries'!W50,'All Summaries'!W51,'All Summaries'!W65)</f>
        <v>28122</v>
      </c>
      <c r="E14" s="266">
        <f>SUM('All Summaries'!Z2,'All Summaries'!Z3,'All Summaries'!Z6,'All Summaries'!Z17,'All Summaries'!Z19,'All Summaries'!Z22,'All Summaries'!Z48,'All Summaries'!Z49,'All Summaries'!Z50,'All Summaries'!Z51,'All Summaries'!Z65)</f>
        <v>71764</v>
      </c>
    </row>
    <row r="15" spans="1:7" thickBot="1" x14ac:dyDescent="0.4">
      <c r="A15" s="100" t="s">
        <v>391</v>
      </c>
      <c r="B15" s="262">
        <f>SUM(B13:B14)</f>
        <v>44309</v>
      </c>
      <c r="C15" s="262">
        <f t="shared" ref="C15:E15" si="0">SUM(C13:C14)</f>
        <v>58297</v>
      </c>
      <c r="D15" s="262">
        <f t="shared" si="0"/>
        <v>64858</v>
      </c>
      <c r="E15" s="263">
        <f t="shared" si="0"/>
        <v>167464</v>
      </c>
    </row>
    <row r="18" spans="1:9" ht="15.95" thickBot="1" x14ac:dyDescent="0.4">
      <c r="A18" s="853" t="s">
        <v>570</v>
      </c>
      <c r="B18" s="853"/>
      <c r="C18" s="853"/>
      <c r="D18" s="853"/>
      <c r="E18" s="853"/>
      <c r="F18" s="853"/>
      <c r="G18" s="853"/>
      <c r="H18" s="853"/>
      <c r="I18" s="854"/>
    </row>
    <row r="19" spans="1:9" ht="72.95" thickBot="1" x14ac:dyDescent="0.4">
      <c r="A19" s="267" t="s">
        <v>1214</v>
      </c>
      <c r="B19" s="101" t="s">
        <v>1274</v>
      </c>
      <c r="C19" s="101" t="s">
        <v>1275</v>
      </c>
      <c r="D19" s="101" t="s">
        <v>1276</v>
      </c>
      <c r="E19" s="101" t="s">
        <v>1277</v>
      </c>
      <c r="F19" s="102" t="s">
        <v>1278</v>
      </c>
      <c r="G19" s="102" t="s">
        <v>1279</v>
      </c>
      <c r="H19" s="103" t="s">
        <v>394</v>
      </c>
      <c r="I19" s="43"/>
    </row>
    <row r="20" spans="1:9" x14ac:dyDescent="0.25">
      <c r="A20" s="855" t="s">
        <v>120</v>
      </c>
      <c r="B20" s="83">
        <v>1</v>
      </c>
      <c r="C20" s="83"/>
      <c r="D20" s="83"/>
      <c r="E20" s="104"/>
      <c r="F20" s="83"/>
      <c r="G20" s="105"/>
      <c r="H20" s="106">
        <f t="shared" ref="H20:H34" si="1">SUM(B20:G20)</f>
        <v>1</v>
      </c>
    </row>
    <row r="21" spans="1:9" x14ac:dyDescent="0.25">
      <c r="A21" s="848"/>
      <c r="B21" s="86">
        <f>SUM('All Summaries'!AM19)</f>
        <v>515685</v>
      </c>
      <c r="C21" s="86"/>
      <c r="D21" s="86"/>
      <c r="E21" s="107"/>
      <c r="F21" s="108"/>
      <c r="G21" s="268"/>
      <c r="H21" s="110">
        <f t="shared" si="1"/>
        <v>515685</v>
      </c>
    </row>
    <row r="22" spans="1:9" x14ac:dyDescent="0.25">
      <c r="A22" s="847" t="s">
        <v>8</v>
      </c>
      <c r="B22" s="85">
        <v>5</v>
      </c>
      <c r="C22" s="85">
        <v>3</v>
      </c>
      <c r="D22" s="85"/>
      <c r="E22" s="111"/>
      <c r="F22" s="85">
        <v>6</v>
      </c>
      <c r="G22" s="109">
        <v>1</v>
      </c>
      <c r="H22" s="106">
        <f t="shared" si="1"/>
        <v>15</v>
      </c>
    </row>
    <row r="23" spans="1:9" x14ac:dyDescent="0.25">
      <c r="A23" s="848"/>
      <c r="B23" s="86">
        <f>SUM('All Summaries'!AM2,'All Summaries'!AM5,'All Summaries'!AM9,'All Summaries'!AM47,'All Summaries'!AM54)</f>
        <v>70138528.659999996</v>
      </c>
      <c r="C23" s="86">
        <f>SUM('All Summaries'!AM7,'All Summaries'!AM20,'All Summaries'!AM40)</f>
        <v>35053300.490000002</v>
      </c>
      <c r="D23" s="85"/>
      <c r="E23" s="112"/>
      <c r="F23" s="89">
        <f>SUM('All Summaries'!AM18,'All Summaries'!AM27,'All Summaries'!AM30,'All Summaries'!AM31,'All Summaries'!AM38,'All Summaries'!AM39)</f>
        <v>52239538.679999992</v>
      </c>
      <c r="G23" s="269">
        <f>SUM('All Summaries'!AM35)</f>
        <v>11394316</v>
      </c>
      <c r="H23" s="110">
        <f t="shared" si="1"/>
        <v>168825683.82999998</v>
      </c>
    </row>
    <row r="24" spans="1:9" x14ac:dyDescent="0.25">
      <c r="A24" s="849" t="s">
        <v>17</v>
      </c>
      <c r="B24" s="270">
        <v>2</v>
      </c>
      <c r="C24" s="270">
        <v>8</v>
      </c>
      <c r="D24" s="270"/>
      <c r="E24" s="271">
        <v>3</v>
      </c>
      <c r="F24" s="272">
        <v>4</v>
      </c>
      <c r="G24" s="273"/>
      <c r="H24" s="275">
        <f t="shared" si="1"/>
        <v>17</v>
      </c>
    </row>
    <row r="25" spans="1:9" x14ac:dyDescent="0.25">
      <c r="A25" s="850"/>
      <c r="B25" s="276">
        <f>SUM('All Summaries'!AM3,'All Summaries'!AM57)</f>
        <v>21893401</v>
      </c>
      <c r="C25" s="276">
        <f>SUM('All Summaries'!AM4,'All Summaries'!AM6,'All Summaries'!AM16,'All Summaries'!AM23,'All Summaries'!AM24,'All Summaries'!AM25,'All Summaries'!AM26,'All Summaries'!AM33)</f>
        <v>93750957.100000009</v>
      </c>
      <c r="D25" s="276"/>
      <c r="E25" s="283">
        <f>SUM('All Summaries'!AM13,'All Summaries'!AM21,'All Summaries'!AM28)</f>
        <v>35823598.149999999</v>
      </c>
      <c r="F25" s="276">
        <f>SUM('All Summaries'!AM17,'All Summaries'!AM22,'All Summaries'!AM32,'All Summaries'!AM48)</f>
        <v>15683862.029999999</v>
      </c>
      <c r="G25" s="278"/>
      <c r="H25" s="279">
        <f t="shared" si="1"/>
        <v>167151818.28</v>
      </c>
    </row>
    <row r="26" spans="1:9" x14ac:dyDescent="0.25">
      <c r="A26" s="849" t="s">
        <v>75</v>
      </c>
      <c r="B26" s="270"/>
      <c r="C26" s="270"/>
      <c r="D26" s="270">
        <v>1</v>
      </c>
      <c r="E26" s="277"/>
      <c r="F26" s="270"/>
      <c r="G26" s="274"/>
      <c r="H26" s="275">
        <f t="shared" si="1"/>
        <v>1</v>
      </c>
    </row>
    <row r="27" spans="1:9" x14ac:dyDescent="0.25">
      <c r="A27" s="850"/>
      <c r="B27" s="276"/>
      <c r="C27" s="276"/>
      <c r="D27" s="284">
        <f>SUM('All Summaries'!AM12)</f>
        <v>230392</v>
      </c>
      <c r="E27" s="280"/>
      <c r="F27" s="281"/>
      <c r="G27" s="282"/>
      <c r="H27" s="279">
        <f t="shared" si="1"/>
        <v>230392</v>
      </c>
    </row>
    <row r="28" spans="1:9" x14ac:dyDescent="0.25">
      <c r="A28" s="847" t="s">
        <v>51</v>
      </c>
      <c r="B28" s="270">
        <v>4</v>
      </c>
      <c r="C28" s="270">
        <v>8</v>
      </c>
      <c r="D28" s="270">
        <v>1</v>
      </c>
      <c r="E28" s="277">
        <v>1</v>
      </c>
      <c r="F28" s="270"/>
      <c r="G28" s="274"/>
      <c r="H28" s="275">
        <f t="shared" si="1"/>
        <v>14</v>
      </c>
    </row>
    <row r="29" spans="1:9" x14ac:dyDescent="0.25">
      <c r="A29" s="848"/>
      <c r="B29" s="289">
        <f>SUM('All Summaries'!AM36,'All Summaries'!AM46,'All Summaries'!AM53,'All Summaries'!AM56)</f>
        <v>41171927.420000002</v>
      </c>
      <c r="C29" s="276">
        <f>SUM('All Summaries'!AM8,'All Summaries'!AM10,'All Summaries'!AM11,'All Summaries'!AM14,'All Summaries'!AM29,'All Summaries'!AM44,'All Summaries'!AM45,'All Summaries'!AM50)</f>
        <v>105147322.92</v>
      </c>
      <c r="D29" s="276">
        <f>SUM('All Summaries'!AM41)</f>
        <v>7582304.6600000001</v>
      </c>
      <c r="E29" s="280">
        <f>SUM('All Summaries'!AM15)</f>
        <v>18040966</v>
      </c>
      <c r="F29" s="281"/>
      <c r="G29" s="282"/>
      <c r="H29" s="279">
        <f t="shared" si="1"/>
        <v>171942521</v>
      </c>
    </row>
    <row r="30" spans="1:9" x14ac:dyDescent="0.25">
      <c r="A30" s="847" t="s">
        <v>1273</v>
      </c>
      <c r="B30" s="270">
        <v>7</v>
      </c>
      <c r="C30" s="270"/>
      <c r="D30" s="270"/>
      <c r="E30" s="277">
        <v>1</v>
      </c>
      <c r="F30" s="270"/>
      <c r="G30" s="274"/>
      <c r="H30" s="275">
        <f t="shared" si="1"/>
        <v>8</v>
      </c>
    </row>
    <row r="31" spans="1:9" x14ac:dyDescent="0.25">
      <c r="A31" s="848"/>
      <c r="B31" s="276">
        <f>SUM('All Summaries'!AM42,'All Summaries'!AM43,'All Summaries'!AM49,'All Summaries'!AM51,'All Summaries'!AM52,'All Summaries'!AM55,'All Summaries'!AM65)</f>
        <v>66935270.519999996</v>
      </c>
      <c r="C31" s="276"/>
      <c r="D31" s="276"/>
      <c r="E31" s="283">
        <f>SUM('All Summaries'!AM37)</f>
        <v>2850091.96</v>
      </c>
      <c r="F31" s="276"/>
      <c r="G31" s="278"/>
      <c r="H31" s="279">
        <f t="shared" si="1"/>
        <v>69785362.479999989</v>
      </c>
    </row>
    <row r="32" spans="1:9" x14ac:dyDescent="0.25">
      <c r="A32" s="849" t="s">
        <v>1025</v>
      </c>
      <c r="B32" s="270">
        <v>1</v>
      </c>
      <c r="C32" s="270"/>
      <c r="D32" s="270"/>
      <c r="E32" s="277"/>
      <c r="F32" s="270"/>
      <c r="G32" s="274"/>
      <c r="H32" s="275">
        <f t="shared" si="1"/>
        <v>1</v>
      </c>
    </row>
    <row r="33" spans="1:8" ht="15.75" thickBot="1" x14ac:dyDescent="0.3">
      <c r="A33" s="850"/>
      <c r="B33" s="276">
        <f>SUM('All Summaries'!AM34)</f>
        <v>4652262</v>
      </c>
      <c r="C33" s="270"/>
      <c r="D33" s="276"/>
      <c r="E33" s="277"/>
      <c r="F33" s="270"/>
      <c r="G33" s="274"/>
      <c r="H33" s="292">
        <f t="shared" si="1"/>
        <v>4652262</v>
      </c>
    </row>
    <row r="34" spans="1:8" x14ac:dyDescent="0.25">
      <c r="A34" s="851" t="s">
        <v>391</v>
      </c>
      <c r="B34" s="288">
        <f>SUM(B20,B22,B24,B26,B28,B30,B32)</f>
        <v>20</v>
      </c>
      <c r="C34" s="113">
        <f t="shared" ref="C34:G34" si="2">SUM(C20,C22,C24,C26,C28,C30,C32)</f>
        <v>19</v>
      </c>
      <c r="D34" s="113">
        <f t="shared" si="2"/>
        <v>2</v>
      </c>
      <c r="E34" s="113">
        <f t="shared" si="2"/>
        <v>5</v>
      </c>
      <c r="F34" s="113">
        <f t="shared" si="2"/>
        <v>10</v>
      </c>
      <c r="G34" s="114">
        <f t="shared" si="2"/>
        <v>1</v>
      </c>
      <c r="H34" s="115">
        <f t="shared" si="1"/>
        <v>57</v>
      </c>
    </row>
    <row r="35" spans="1:8" ht="15.75" thickBot="1" x14ac:dyDescent="0.3">
      <c r="A35" s="852"/>
      <c r="B35" s="116">
        <f>SUM(B21,B23,B25,B27,B29,B31,B33)</f>
        <v>205307074.59999999</v>
      </c>
      <c r="C35" s="291">
        <f t="shared" ref="C35:G35" si="3">SUM(C21,C23,C25,C27,C29,C31,C33)</f>
        <v>233951580.50999999</v>
      </c>
      <c r="D35" s="291">
        <f t="shared" si="3"/>
        <v>7812696.6600000001</v>
      </c>
      <c r="E35" s="291">
        <f t="shared" si="3"/>
        <v>56714656.109999999</v>
      </c>
      <c r="F35" s="291">
        <f t="shared" si="3"/>
        <v>67923400.709999993</v>
      </c>
      <c r="G35" s="290">
        <f t="shared" si="3"/>
        <v>11394316</v>
      </c>
      <c r="H35" s="117">
        <f>SUM(H21,H23,H25,H27,H29,H31,H33)</f>
        <v>583103724.59000003</v>
      </c>
    </row>
  </sheetData>
  <mergeCells count="9">
    <mergeCell ref="A30:A31"/>
    <mergeCell ref="A32:A33"/>
    <mergeCell ref="A34:A35"/>
    <mergeCell ref="A28:A29"/>
    <mergeCell ref="A18:I18"/>
    <mergeCell ref="A20:A21"/>
    <mergeCell ref="A22:A23"/>
    <mergeCell ref="A24:A25"/>
    <mergeCell ref="A26:A2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C10" zoomScale="80" zoomScaleNormal="80" workbookViewId="0">
      <selection activeCell="D20" sqref="D20"/>
    </sheetView>
  </sheetViews>
  <sheetFormatPr defaultColWidth="8.7109375" defaultRowHeight="15" x14ac:dyDescent="0.25"/>
  <cols>
    <col min="1" max="1" width="26" style="293" customWidth="1"/>
    <col min="2" max="2" width="20.5703125" style="293" customWidth="1"/>
    <col min="3" max="3" width="18.85546875" style="293" customWidth="1"/>
    <col min="4" max="4" width="19.140625" style="293" customWidth="1"/>
    <col min="5" max="5" width="18.7109375" style="293" customWidth="1"/>
    <col min="6" max="6" width="18" style="293" customWidth="1"/>
    <col min="7" max="7" width="20.42578125" style="293" customWidth="1"/>
    <col min="8" max="8" width="11" style="293" customWidth="1"/>
    <col min="9" max="9" width="15.28515625" style="293" customWidth="1"/>
    <col min="10" max="16384" width="8.7109375" style="293"/>
  </cols>
  <sheetData>
    <row r="1" spans="1:6" ht="44.1" thickBot="1" x14ac:dyDescent="0.4">
      <c r="A1" s="298" t="s">
        <v>1280</v>
      </c>
      <c r="B1" s="299" t="s">
        <v>562</v>
      </c>
      <c r="C1" s="299" t="s">
        <v>563</v>
      </c>
      <c r="D1" s="80" t="s">
        <v>1281</v>
      </c>
      <c r="E1" s="300" t="s">
        <v>1271</v>
      </c>
      <c r="F1" s="301" t="s">
        <v>1272</v>
      </c>
    </row>
    <row r="2" spans="1:6" ht="14.45" x14ac:dyDescent="0.35">
      <c r="A2" s="302" t="s">
        <v>354</v>
      </c>
      <c r="B2" s="303">
        <v>2</v>
      </c>
      <c r="C2" s="304">
        <v>2</v>
      </c>
      <c r="D2" s="305">
        <f>SUM('All Summaries'!AM61,'All Summaries'!AM95)</f>
        <v>3686129</v>
      </c>
      <c r="E2" s="306">
        <f>SUM('All Summaries'!Z61,'All Summaries'!Z95)</f>
        <v>3900</v>
      </c>
      <c r="F2" s="307">
        <f>0</f>
        <v>0</v>
      </c>
    </row>
    <row r="3" spans="1:6" ht="14.45" x14ac:dyDescent="0.35">
      <c r="A3" s="308" t="s">
        <v>1020</v>
      </c>
      <c r="B3" s="277">
        <v>6</v>
      </c>
      <c r="C3" s="309">
        <v>5</v>
      </c>
      <c r="D3" s="254">
        <f>SUM('All Summaries'!AM67,'All Summaries'!AM73,'All Summaries'!AM75,'All Summaries'!AM81,'All Summaries'!AM94,'All Summaries'!AM125)</f>
        <v>53509714.582491584</v>
      </c>
      <c r="E3" s="87">
        <f>SUM('All Summaries'!Z67,'All Summaries'!Z73,'All Summaries'!Z75,'All Summaries'!Z81,'All Summaries'!Z94,'All Summaries'!Z125)</f>
        <v>51414</v>
      </c>
      <c r="F3" s="88">
        <f>0</f>
        <v>0</v>
      </c>
    </row>
    <row r="4" spans="1:6" ht="29.1" x14ac:dyDescent="0.35">
      <c r="A4" s="333" t="s">
        <v>1255</v>
      </c>
      <c r="B4" s="277">
        <v>1</v>
      </c>
      <c r="C4" s="309">
        <v>1</v>
      </c>
      <c r="D4" s="254">
        <f>SUM('All Summaries'!AM122)</f>
        <v>17470564</v>
      </c>
      <c r="E4" s="87">
        <f>SUM('All Summaries'!Z122)</f>
        <v>1932</v>
      </c>
      <c r="F4" s="88">
        <v>0</v>
      </c>
    </row>
    <row r="5" spans="1:6" ht="14.45" x14ac:dyDescent="0.35">
      <c r="A5" s="308" t="s">
        <v>1023</v>
      </c>
      <c r="B5" s="277">
        <v>1</v>
      </c>
      <c r="C5" s="309">
        <v>1</v>
      </c>
      <c r="D5" s="254">
        <f>SUM('All Summaries'!AM88)</f>
        <v>15456990</v>
      </c>
      <c r="E5" s="87">
        <f>SUM('All Summaries'!Z88)</f>
        <v>600</v>
      </c>
      <c r="F5" s="88">
        <f>0</f>
        <v>0</v>
      </c>
    </row>
    <row r="6" spans="1:6" ht="14.45" x14ac:dyDescent="0.35">
      <c r="A6" s="308" t="s">
        <v>1025</v>
      </c>
      <c r="B6" s="277">
        <v>3</v>
      </c>
      <c r="C6" s="309">
        <v>3</v>
      </c>
      <c r="D6" s="254">
        <f>SUM('All Summaries'!AM72,'All Summaries'!AM83,'All Summaries'!AM87)</f>
        <v>37851473.185937643</v>
      </c>
      <c r="E6" s="87">
        <f>SUM('All Summaries'!Z72,'All Summaries'!Z83,'All Summaries'!Z87)</f>
        <v>84516</v>
      </c>
      <c r="F6" s="88">
        <f>0</f>
        <v>0</v>
      </c>
    </row>
    <row r="7" spans="1:6" thickBot="1" x14ac:dyDescent="0.4">
      <c r="A7" s="310" t="s">
        <v>407</v>
      </c>
      <c r="B7" s="277">
        <v>1</v>
      </c>
      <c r="C7" s="309">
        <v>1</v>
      </c>
      <c r="D7" s="254">
        <f>SUM('All Summaries'!AM82)</f>
        <v>4723759</v>
      </c>
      <c r="E7" s="87">
        <f>SUM('All Summaries'!Z82)</f>
        <v>19596</v>
      </c>
      <c r="F7" s="88">
        <f>0</f>
        <v>0</v>
      </c>
    </row>
    <row r="8" spans="1:6" thickBot="1" x14ac:dyDescent="0.4">
      <c r="A8" s="311" t="s">
        <v>391</v>
      </c>
      <c r="B8" s="312">
        <f>SUM(B2:B7)</f>
        <v>14</v>
      </c>
      <c r="C8" s="313">
        <f>SUM(C2:C7)</f>
        <v>13</v>
      </c>
      <c r="D8" s="314">
        <f>SUM(D2:D7)</f>
        <v>132698629.76842922</v>
      </c>
      <c r="E8" s="315">
        <f>SUM(E2:E7)</f>
        <v>161958</v>
      </c>
      <c r="F8" s="316">
        <f>SUM(F2:F7)</f>
        <v>0</v>
      </c>
    </row>
    <row r="10" spans="1:6" thickBot="1" x14ac:dyDescent="0.4"/>
    <row r="11" spans="1:6" ht="38.25" customHeight="1" thickBot="1" x14ac:dyDescent="0.4">
      <c r="A11" s="95" t="s">
        <v>392</v>
      </c>
      <c r="B11" s="317" t="s">
        <v>566</v>
      </c>
      <c r="C11" s="317" t="s">
        <v>567</v>
      </c>
      <c r="D11" s="317" t="s">
        <v>568</v>
      </c>
      <c r="E11" s="318" t="s">
        <v>569</v>
      </c>
      <c r="F11" s="294"/>
    </row>
    <row r="12" spans="1:6" ht="14.45" x14ac:dyDescent="0.35">
      <c r="A12" s="319" t="s">
        <v>28</v>
      </c>
      <c r="B12" s="320">
        <f>SUM('All Summaries'!S61,'All Summaries'!S67,'All Summaries'!S72,'All Summaries'!S73,'All Summaries'!S75,'All Summaries'!S81,'All Summaries'!S82,'All Summaries'!S83,'All Summaries'!S87,'All Summaries'!S88,'All Summaries'!S94,'All Summaries'!S95,'All Summaries'!S122,'All Summaries'!S125)</f>
        <v>43684</v>
      </c>
      <c r="C12" s="320">
        <f>SUM('All Summaries'!U61,'All Summaries'!U67,'All Summaries'!U72,'All Summaries'!U73,'All Summaries'!U75,'All Summaries'!U81,'All Summaries'!U82,'All Summaries'!U83,'All Summaries'!U87,'All Summaries'!U88,'All Summaries'!U94,'All Summaries'!U95,'All Summaries'!U122,'All Summaries'!U125)</f>
        <v>49012</v>
      </c>
      <c r="D12" s="320">
        <f>SUM('All Summaries'!W61,'All Summaries'!W67,'All Summaries'!W72,'All Summaries'!W73,'All Summaries'!W75,'All Summaries'!W81,'All Summaries'!W82,'All Summaries'!W83,'All Summaries'!W87,'All Summaries'!W88,'All Summaries'!W94,'All Summaries'!W95,'All Summaries'!W122,'All Summaries'!W125)</f>
        <v>69262</v>
      </c>
      <c r="E12" s="320">
        <f>SUM('All Summaries'!Z61,'All Summaries'!Z67,'All Summaries'!Z72,'All Summaries'!Z73,'All Summaries'!Z75,'All Summaries'!Z81,'All Summaries'!Z82,'All Summaries'!Z83,'All Summaries'!Z87,'All Summaries'!Z88,'All Summaries'!Z94,'All Summaries'!Z95,'All Summaries'!Z122,'All Summaries'!Z125)</f>
        <v>161958</v>
      </c>
      <c r="F12" s="295"/>
    </row>
    <row r="13" spans="1:6" thickBot="1" x14ac:dyDescent="0.4">
      <c r="A13" s="321" t="s">
        <v>111</v>
      </c>
      <c r="B13" s="261">
        <v>0</v>
      </c>
      <c r="C13" s="261">
        <v>0</v>
      </c>
      <c r="D13" s="261">
        <v>0</v>
      </c>
      <c r="E13" s="266">
        <v>0</v>
      </c>
      <c r="F13" s="294"/>
    </row>
    <row r="14" spans="1:6" s="297" customFormat="1" thickBot="1" x14ac:dyDescent="0.4">
      <c r="A14" s="100" t="s">
        <v>391</v>
      </c>
      <c r="B14" s="322">
        <f>SUM(B12:B13)</f>
        <v>43684</v>
      </c>
      <c r="C14" s="322">
        <f t="shared" ref="C14:D14" si="0">SUM(C12:C13)</f>
        <v>49012</v>
      </c>
      <c r="D14" s="322">
        <f t="shared" si="0"/>
        <v>69262</v>
      </c>
      <c r="E14" s="323">
        <f>SUM(E12:E13)</f>
        <v>161958</v>
      </c>
      <c r="F14" s="296"/>
    </row>
    <row r="15" spans="1:6" ht="14.45" x14ac:dyDescent="0.35">
      <c r="A15" s="324"/>
      <c r="B15" s="325"/>
      <c r="C15" s="325"/>
      <c r="D15" s="325"/>
      <c r="E15" s="325"/>
      <c r="F15" s="294"/>
    </row>
    <row r="17" spans="1:7" thickBot="1" x14ac:dyDescent="0.4">
      <c r="A17" s="859" t="s">
        <v>570</v>
      </c>
      <c r="B17" s="859"/>
      <c r="C17" s="859"/>
      <c r="D17" s="859"/>
      <c r="E17" s="859"/>
      <c r="F17" s="860"/>
      <c r="G17" s="860"/>
    </row>
    <row r="18" spans="1:7" ht="51.6" customHeight="1" thickBot="1" x14ac:dyDescent="0.4">
      <c r="A18" s="326" t="s">
        <v>1313</v>
      </c>
      <c r="B18" s="143" t="s">
        <v>1274</v>
      </c>
      <c r="C18" s="144" t="s">
        <v>1275</v>
      </c>
      <c r="D18" s="144" t="s">
        <v>1282</v>
      </c>
      <c r="E18" s="145" t="s">
        <v>571</v>
      </c>
      <c r="F18" s="337"/>
      <c r="G18" s="338"/>
    </row>
    <row r="19" spans="1:7" x14ac:dyDescent="0.25">
      <c r="A19" s="861" t="s">
        <v>75</v>
      </c>
      <c r="B19" s="327">
        <v>1</v>
      </c>
      <c r="C19" s="328">
        <v>1</v>
      </c>
      <c r="D19" s="328"/>
      <c r="E19" s="348">
        <f t="shared" ref="E19:E32" si="1">SUM(B19:D19)</f>
        <v>2</v>
      </c>
      <c r="F19" s="339"/>
      <c r="G19" s="340"/>
    </row>
    <row r="20" spans="1:7" x14ac:dyDescent="0.25">
      <c r="A20" s="862"/>
      <c r="B20" s="329">
        <f>SUM('All Summaries'!AM61)</f>
        <v>3275410</v>
      </c>
      <c r="C20" s="254">
        <f>SUM('All Summaries'!AM95)</f>
        <v>410719</v>
      </c>
      <c r="D20" s="329"/>
      <c r="E20" s="349">
        <f t="shared" si="1"/>
        <v>3686129</v>
      </c>
      <c r="F20" s="341"/>
      <c r="G20" s="342"/>
    </row>
    <row r="21" spans="1:7" x14ac:dyDescent="0.25">
      <c r="A21" s="862" t="s">
        <v>1020</v>
      </c>
      <c r="B21" s="270">
        <v>3</v>
      </c>
      <c r="C21" s="270">
        <v>3</v>
      </c>
      <c r="D21" s="270"/>
      <c r="E21" s="350">
        <f t="shared" si="1"/>
        <v>6</v>
      </c>
      <c r="F21" s="339"/>
      <c r="G21" s="340"/>
    </row>
    <row r="22" spans="1:7" ht="15" customHeight="1" x14ac:dyDescent="0.25">
      <c r="A22" s="862"/>
      <c r="B22" s="329">
        <f>SUM('All Summaries'!AM67,'All Summaries'!AM75,'All Summaries'!AM81)</f>
        <v>32070257.582491584</v>
      </c>
      <c r="C22" s="329">
        <f>SUM('All Summaries'!AM73,'All Summaries'!AM94,'All Summaries'!AM125)</f>
        <v>21439457</v>
      </c>
      <c r="D22" s="329"/>
      <c r="E22" s="349">
        <f t="shared" si="1"/>
        <v>53509714.582491584</v>
      </c>
      <c r="F22" s="343"/>
      <c r="G22" s="342"/>
    </row>
    <row r="23" spans="1:7" x14ac:dyDescent="0.25">
      <c r="A23" s="862" t="s">
        <v>1255</v>
      </c>
      <c r="B23" s="270">
        <v>1</v>
      </c>
      <c r="C23" s="270"/>
      <c r="D23" s="270"/>
      <c r="E23" s="350">
        <f t="shared" si="1"/>
        <v>1</v>
      </c>
      <c r="F23" s="339"/>
      <c r="G23" s="340"/>
    </row>
    <row r="24" spans="1:7" x14ac:dyDescent="0.25">
      <c r="A24" s="862"/>
      <c r="B24" s="329">
        <f>SUM('All Summaries'!AM122)</f>
        <v>17470564</v>
      </c>
      <c r="C24" s="330"/>
      <c r="D24" s="330"/>
      <c r="E24" s="349">
        <f t="shared" si="1"/>
        <v>17470564</v>
      </c>
      <c r="F24" s="343"/>
      <c r="G24" s="342"/>
    </row>
    <row r="25" spans="1:7" x14ac:dyDescent="0.25">
      <c r="A25" s="862" t="s">
        <v>1023</v>
      </c>
      <c r="B25" s="270"/>
      <c r="C25" s="270"/>
      <c r="D25" s="270">
        <v>1</v>
      </c>
      <c r="E25" s="350">
        <f t="shared" si="1"/>
        <v>1</v>
      </c>
      <c r="F25" s="339"/>
      <c r="G25" s="340"/>
    </row>
    <row r="26" spans="1:7" x14ac:dyDescent="0.25">
      <c r="A26" s="862"/>
      <c r="B26" s="330"/>
      <c r="C26" s="329"/>
      <c r="D26" s="329">
        <f>SUM('All Summaries'!AM88)</f>
        <v>15456990</v>
      </c>
      <c r="E26" s="349">
        <f t="shared" si="1"/>
        <v>15456990</v>
      </c>
      <c r="F26" s="343"/>
      <c r="G26" s="342"/>
    </row>
    <row r="27" spans="1:7" x14ac:dyDescent="0.25">
      <c r="A27" s="856" t="s">
        <v>1025</v>
      </c>
      <c r="B27" s="270">
        <v>2</v>
      </c>
      <c r="C27" s="270">
        <v>1</v>
      </c>
      <c r="D27" s="270"/>
      <c r="E27" s="350">
        <f t="shared" si="1"/>
        <v>3</v>
      </c>
      <c r="F27" s="339"/>
      <c r="G27" s="340"/>
    </row>
    <row r="28" spans="1:7" x14ac:dyDescent="0.25">
      <c r="A28" s="856"/>
      <c r="B28" s="329">
        <f>SUM('All Summaries'!AM83,'All Summaries'!AM87)</f>
        <v>29054716.585937645</v>
      </c>
      <c r="C28" s="329">
        <f>SUM('All Summaries'!AM72)</f>
        <v>8796756.5999999996</v>
      </c>
      <c r="D28" s="330"/>
      <c r="E28" s="349">
        <f t="shared" si="1"/>
        <v>37851473.185937643</v>
      </c>
      <c r="F28" s="343"/>
      <c r="G28" s="342"/>
    </row>
    <row r="29" spans="1:7" x14ac:dyDescent="0.25">
      <c r="A29" s="856" t="s">
        <v>407</v>
      </c>
      <c r="B29" s="270"/>
      <c r="C29" s="270">
        <v>1</v>
      </c>
      <c r="D29" s="270"/>
      <c r="E29" s="350">
        <f t="shared" si="1"/>
        <v>1</v>
      </c>
      <c r="F29" s="339"/>
      <c r="G29" s="340"/>
    </row>
    <row r="30" spans="1:7" ht="15.75" thickBot="1" x14ac:dyDescent="0.3">
      <c r="A30" s="856"/>
      <c r="B30" s="329"/>
      <c r="C30" s="329">
        <f>SUM('All Summaries'!AM82)</f>
        <v>4723759</v>
      </c>
      <c r="D30" s="330"/>
      <c r="E30" s="349">
        <f t="shared" si="1"/>
        <v>4723759</v>
      </c>
      <c r="F30" s="343"/>
      <c r="G30" s="342"/>
    </row>
    <row r="31" spans="1:7" x14ac:dyDescent="0.25">
      <c r="A31" s="857" t="s">
        <v>391</v>
      </c>
      <c r="B31" s="331">
        <f>SUM(B19,B21,B23,B25,B27,B29)</f>
        <v>7</v>
      </c>
      <c r="C31" s="331">
        <f t="shared" ref="C31:D31" si="2">SUM(C19,C21,C23,C25,C27,C29)</f>
        <v>6</v>
      </c>
      <c r="D31" s="331">
        <f t="shared" si="2"/>
        <v>1</v>
      </c>
      <c r="E31" s="351">
        <f t="shared" si="1"/>
        <v>14</v>
      </c>
      <c r="F31" s="344"/>
      <c r="G31" s="345"/>
    </row>
    <row r="32" spans="1:7" ht="15.75" thickBot="1" x14ac:dyDescent="0.3">
      <c r="A32" s="858"/>
      <c r="B32" s="332">
        <f>SUM(B20,B22,B24,B26,B28,B30,)</f>
        <v>81870948.168429226</v>
      </c>
      <c r="C32" s="332">
        <f t="shared" ref="C32:D32" si="3">SUM(C20,C22,C24,C26,C28,C30,)</f>
        <v>35370691.600000001</v>
      </c>
      <c r="D32" s="332">
        <f t="shared" si="3"/>
        <v>15456990</v>
      </c>
      <c r="E32" s="352">
        <f t="shared" si="1"/>
        <v>132698629.76842922</v>
      </c>
      <c r="F32" s="346"/>
      <c r="G32" s="347"/>
    </row>
    <row r="33" spans="6:7" x14ac:dyDescent="0.25">
      <c r="F33" s="340"/>
      <c r="G33" s="340"/>
    </row>
    <row r="34" spans="6:7" x14ac:dyDescent="0.25">
      <c r="F34" s="294"/>
      <c r="G34" s="336"/>
    </row>
    <row r="35" spans="6:7" x14ac:dyDescent="0.25">
      <c r="F35" s="294"/>
      <c r="G35" s="294"/>
    </row>
    <row r="36" spans="6:7" x14ac:dyDescent="0.25">
      <c r="F36" s="294"/>
      <c r="G36" s="294"/>
    </row>
  </sheetData>
  <mergeCells count="8">
    <mergeCell ref="A29:A30"/>
    <mergeCell ref="A31:A32"/>
    <mergeCell ref="A27:A28"/>
    <mergeCell ref="A17:G17"/>
    <mergeCell ref="A19:A20"/>
    <mergeCell ref="A21:A22"/>
    <mergeCell ref="A23:A24"/>
    <mergeCell ref="A25:A26"/>
  </mergeCells>
  <pageMargins left="0.7" right="0.7" top="0.75" bottom="0.75" header="0.3" footer="0.3"/>
  <pageSetup orientation="landscape" r:id="rId1"/>
  <headerFooter>
    <oddHeader>&amp;LChronic Care Projects</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7" zoomScale="80" zoomScaleNormal="80" workbookViewId="0">
      <selection activeCell="E16" sqref="E16:E21"/>
    </sheetView>
  </sheetViews>
  <sheetFormatPr defaultColWidth="8.7109375" defaultRowHeight="15" x14ac:dyDescent="0.25"/>
  <cols>
    <col min="1" max="1" width="19.140625" style="293" customWidth="1"/>
    <col min="2" max="2" width="19.85546875" style="293" customWidth="1"/>
    <col min="3" max="3" width="18.7109375" style="293" customWidth="1"/>
    <col min="4" max="4" width="21.42578125" style="293" customWidth="1"/>
    <col min="5" max="5" width="20.7109375" style="293" customWidth="1"/>
    <col min="6" max="6" width="19" style="293" customWidth="1"/>
    <col min="7" max="16384" width="8.7109375" style="293"/>
  </cols>
  <sheetData>
    <row r="1" spans="1:6" ht="90.75" customHeight="1" thickBot="1" x14ac:dyDescent="0.4">
      <c r="A1" s="79" t="s">
        <v>1310</v>
      </c>
      <c r="B1" s="80" t="s">
        <v>389</v>
      </c>
      <c r="C1" s="80" t="s">
        <v>390</v>
      </c>
      <c r="D1" s="129" t="s">
        <v>1296</v>
      </c>
      <c r="E1" s="80" t="s">
        <v>564</v>
      </c>
      <c r="F1" s="130" t="s">
        <v>565</v>
      </c>
    </row>
    <row r="2" spans="1:6" ht="14.45" x14ac:dyDescent="0.35">
      <c r="A2" s="451" t="s">
        <v>75</v>
      </c>
      <c r="B2" s="328">
        <v>13</v>
      </c>
      <c r="C2" s="328">
        <v>8</v>
      </c>
      <c r="D2" s="452">
        <f>SUM('All Summaries'!AM155,'All Summaries'!AM156,'All Summaries'!AM157,'All Summaries'!AM158,'All Summaries'!AM159,'All Summaries'!AM160,'All Summaries'!AM161,'All Summaries'!AM163,'All Summaries'!AM164,'All Summaries'!AM165,'All Summaries'!AM166,'All Summaries'!AM167,'All Summaries'!AM168)</f>
        <v>144521824.67799819</v>
      </c>
      <c r="E2" s="453">
        <f>SUM('All Summaries'!Z155,'All Summaries'!Z156,'All Summaries'!Z157,'All Summaries'!Z158,'All Summaries'!Z159,'All Summaries'!Z160,'All Summaries'!Z161,'All Summaries'!Z163,'All Summaries'!Z164,'All Summaries'!Z165,'All Summaries'!Z166,'All Summaries'!Z167,'All Summaries'!Z168)</f>
        <v>100482</v>
      </c>
      <c r="F2" s="378">
        <v>0</v>
      </c>
    </row>
    <row r="3" spans="1:6" ht="14.45" x14ac:dyDescent="0.35">
      <c r="A3" s="451" t="s">
        <v>1022</v>
      </c>
      <c r="B3" s="328">
        <v>2</v>
      </c>
      <c r="C3" s="328">
        <v>2</v>
      </c>
      <c r="D3" s="452">
        <f>SUM('All Summaries'!AM58,'All Summaries'!AM60)</f>
        <v>37331361.600000001</v>
      </c>
      <c r="E3" s="453">
        <v>0</v>
      </c>
      <c r="F3" s="472">
        <f>SUM('All Summaries'!Z58,'All Summaries'!Z60)</f>
        <v>393960</v>
      </c>
    </row>
    <row r="4" spans="1:6" thickBot="1" x14ac:dyDescent="0.4">
      <c r="A4" s="454" t="s">
        <v>1029</v>
      </c>
      <c r="B4" s="272">
        <v>1</v>
      </c>
      <c r="C4" s="272">
        <v>1</v>
      </c>
      <c r="D4" s="455">
        <f>SUM('All Summaries'!AM162)</f>
        <v>4023569.8354780604</v>
      </c>
      <c r="E4" s="440">
        <f>SUM('All Summaries'!Z162)</f>
        <v>345</v>
      </c>
      <c r="F4" s="456">
        <v>0</v>
      </c>
    </row>
    <row r="5" spans="1:6" thickBot="1" x14ac:dyDescent="0.4">
      <c r="A5" s="468" t="s">
        <v>391</v>
      </c>
      <c r="B5" s="410">
        <f>SUM(B2:B4)</f>
        <v>16</v>
      </c>
      <c r="C5" s="410">
        <f>SUM(C2:C4)</f>
        <v>11</v>
      </c>
      <c r="D5" s="473">
        <f>SUM(D2:D4)</f>
        <v>185876756.11347625</v>
      </c>
      <c r="E5" s="457">
        <f>SUM(E2:E4)</f>
        <v>100827</v>
      </c>
      <c r="F5" s="375">
        <f>SUM(F2:F4)</f>
        <v>393960</v>
      </c>
    </row>
    <row r="7" spans="1:6" thickBot="1" x14ac:dyDescent="0.4">
      <c r="B7" s="297"/>
      <c r="C7" s="297"/>
      <c r="D7" s="297"/>
      <c r="E7" s="297"/>
    </row>
    <row r="8" spans="1:6" ht="29.45" thickBot="1" x14ac:dyDescent="0.4">
      <c r="A8" s="79" t="s">
        <v>934</v>
      </c>
      <c r="B8" s="129" t="s">
        <v>935</v>
      </c>
      <c r="C8" s="129" t="s">
        <v>936</v>
      </c>
      <c r="D8" s="129" t="s">
        <v>937</v>
      </c>
      <c r="E8" s="129" t="s">
        <v>1311</v>
      </c>
    </row>
    <row r="9" spans="1:6" ht="14.45" x14ac:dyDescent="0.35">
      <c r="A9" s="469" t="s">
        <v>189</v>
      </c>
      <c r="B9" s="470">
        <f>SUM('[1]Navigation Project Summaries'!U2:U15)</f>
        <v>23445</v>
      </c>
      <c r="C9" s="470">
        <f>SUM('[1]Navigation Project Summaries'!V2:V15)</f>
        <v>52543</v>
      </c>
      <c r="D9" s="470">
        <f>SUM('[1]Navigation Project Summaries'!W2:W15)</f>
        <v>87112</v>
      </c>
      <c r="E9" s="265">
        <f>SUM('[1]Navigation Project Summaries'!X2:X15)</f>
        <v>163100</v>
      </c>
    </row>
    <row r="10" spans="1:6" thickBot="1" x14ac:dyDescent="0.4">
      <c r="A10" s="471" t="s">
        <v>111</v>
      </c>
      <c r="B10" s="474">
        <f>SUM('All Summaries'!S58,'All Summaries'!S60)</f>
        <v>131320</v>
      </c>
      <c r="C10" s="474">
        <f>SUM('All Summaries'!U58,'All Summaries'!U60)</f>
        <v>131320</v>
      </c>
      <c r="D10" s="474">
        <f>SUM('All Summaries'!W58,'All Summaries'!W60)</f>
        <v>131320</v>
      </c>
      <c r="E10" s="444">
        <f>SUM(B10:D10)</f>
        <v>393960</v>
      </c>
    </row>
    <row r="11" spans="1:6" thickBot="1" x14ac:dyDescent="0.4">
      <c r="A11" s="91" t="s">
        <v>391</v>
      </c>
      <c r="B11" s="475">
        <f>SUM(B9:B10)</f>
        <v>154765</v>
      </c>
      <c r="C11" s="475">
        <f t="shared" ref="C11:E11" si="0">SUM(C9:C10)</f>
        <v>183863</v>
      </c>
      <c r="D11" s="475">
        <f t="shared" si="0"/>
        <v>218432</v>
      </c>
      <c r="E11" s="475">
        <f t="shared" si="0"/>
        <v>557060</v>
      </c>
    </row>
    <row r="14" spans="1:6" thickBot="1" x14ac:dyDescent="0.4">
      <c r="A14" s="192" t="s">
        <v>752</v>
      </c>
    </row>
    <row r="15" spans="1:6" ht="54.95" customHeight="1" thickBot="1" x14ac:dyDescent="0.4">
      <c r="A15" s="458" t="s">
        <v>1300</v>
      </c>
      <c r="B15" s="144" t="s">
        <v>1274</v>
      </c>
      <c r="C15" s="144" t="s">
        <v>1299</v>
      </c>
      <c r="D15" s="144" t="s">
        <v>1279</v>
      </c>
      <c r="E15" s="445" t="s">
        <v>571</v>
      </c>
      <c r="F15" s="338"/>
    </row>
    <row r="16" spans="1:6" x14ac:dyDescent="0.25">
      <c r="A16" s="863" t="s">
        <v>75</v>
      </c>
      <c r="B16" s="459">
        <v>9</v>
      </c>
      <c r="C16" s="459">
        <v>2</v>
      </c>
      <c r="D16" s="459">
        <v>2</v>
      </c>
      <c r="E16" s="479">
        <f t="shared" ref="E16:E21" si="1">SUM(B16:D16)</f>
        <v>13</v>
      </c>
      <c r="F16" s="340"/>
    </row>
    <row r="17" spans="1:6" x14ac:dyDescent="0.25">
      <c r="A17" s="864"/>
      <c r="B17" s="408">
        <f>SUM('All Summaries'!AM156,'All Summaries'!AM158,'All Summaries'!AM159,'All Summaries'!AM160,'All Summaries'!AM161,'All Summaries'!AM163,'All Summaries'!AM164,'All Summaries'!AM165,'All Summaries'!AM167)</f>
        <v>122658629.23476599</v>
      </c>
      <c r="C17" s="408">
        <f>SUM('All Summaries'!AM166,'All Summaries'!AM168)</f>
        <v>5920092</v>
      </c>
      <c r="D17" s="408">
        <f>SUM('All Summaries'!AM155,'All Summaries'!AM157)</f>
        <v>15943103.443232199</v>
      </c>
      <c r="E17" s="460">
        <f t="shared" si="1"/>
        <v>144521824.67799819</v>
      </c>
      <c r="F17" s="419"/>
    </row>
    <row r="18" spans="1:6" x14ac:dyDescent="0.25">
      <c r="A18" s="865" t="s">
        <v>1298</v>
      </c>
      <c r="B18" s="461">
        <v>1</v>
      </c>
      <c r="C18" s="408"/>
      <c r="D18" s="478">
        <v>1</v>
      </c>
      <c r="E18" s="480">
        <f t="shared" si="1"/>
        <v>2</v>
      </c>
      <c r="F18" s="476"/>
    </row>
    <row r="19" spans="1:6" x14ac:dyDescent="0.25">
      <c r="A19" s="864"/>
      <c r="B19" s="408">
        <f>SUM('All Summaries'!AM58)</f>
        <v>17388804</v>
      </c>
      <c r="C19" s="408"/>
      <c r="D19" s="408">
        <f>SUM('All Summaries'!AM60)</f>
        <v>19942557.600000001</v>
      </c>
      <c r="E19" s="460">
        <f t="shared" si="1"/>
        <v>37331361.600000001</v>
      </c>
      <c r="F19" s="419"/>
    </row>
    <row r="20" spans="1:6" x14ac:dyDescent="0.25">
      <c r="A20" s="865" t="s">
        <v>1029</v>
      </c>
      <c r="B20" s="463">
        <v>1</v>
      </c>
      <c r="C20" s="409"/>
      <c r="D20" s="409"/>
      <c r="E20" s="481">
        <f t="shared" si="1"/>
        <v>1</v>
      </c>
      <c r="F20" s="476"/>
    </row>
    <row r="21" spans="1:6" ht="15.75" thickBot="1" x14ac:dyDescent="0.3">
      <c r="A21" s="864"/>
      <c r="B21" s="408">
        <f>SUM('All Summaries'!AM162)</f>
        <v>4023569.8354780604</v>
      </c>
      <c r="C21" s="408"/>
      <c r="D21" s="408"/>
      <c r="E21" s="460">
        <f t="shared" si="1"/>
        <v>4023569.8354780604</v>
      </c>
      <c r="F21" s="419"/>
    </row>
    <row r="22" spans="1:6" x14ac:dyDescent="0.25">
      <c r="A22" s="866" t="s">
        <v>391</v>
      </c>
      <c r="B22" s="464">
        <f>SUM(B16,B18,B20)</f>
        <v>11</v>
      </c>
      <c r="C22" s="464">
        <f t="shared" ref="C22:E22" si="2">SUM(C16,C18,C20)</f>
        <v>2</v>
      </c>
      <c r="D22" s="464">
        <f t="shared" si="2"/>
        <v>3</v>
      </c>
      <c r="E22" s="465">
        <f t="shared" si="2"/>
        <v>16</v>
      </c>
      <c r="F22" s="477"/>
    </row>
    <row r="23" spans="1:6" ht="15.75" thickBot="1" x14ac:dyDescent="0.3">
      <c r="A23" s="867"/>
      <c r="B23" s="466">
        <f>SUM(B17,B19,B21)</f>
        <v>144071003.07024407</v>
      </c>
      <c r="C23" s="466">
        <f t="shared" ref="C23:E23" si="3">SUM(C17,C19,C21)</f>
        <v>5920092</v>
      </c>
      <c r="D23" s="466">
        <f t="shared" si="3"/>
        <v>35885661.043232203</v>
      </c>
      <c r="E23" s="467">
        <f t="shared" si="3"/>
        <v>185876756.11347625</v>
      </c>
      <c r="F23" s="347"/>
    </row>
  </sheetData>
  <mergeCells count="4">
    <mergeCell ref="A16:A17"/>
    <mergeCell ref="A18:A19"/>
    <mergeCell ref="A20:A21"/>
    <mergeCell ref="A22:A23"/>
  </mergeCells>
  <pageMargins left="0.7" right="0.7" top="0.75" bottom="0.75" header="0.3" footer="0.3"/>
  <pageSetup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80" zoomScaleNormal="80" workbookViewId="0">
      <selection activeCell="E16" sqref="E16"/>
    </sheetView>
  </sheetViews>
  <sheetFormatPr defaultColWidth="8.7109375" defaultRowHeight="15" x14ac:dyDescent="0.25"/>
  <cols>
    <col min="1" max="1" width="21.42578125" style="293" customWidth="1"/>
    <col min="2" max="2" width="15.140625" style="293" customWidth="1"/>
    <col min="3" max="3" width="16.28515625" style="293" customWidth="1"/>
    <col min="4" max="4" width="17.28515625" style="293" customWidth="1"/>
    <col min="5" max="5" width="19.140625" style="293" customWidth="1"/>
    <col min="6" max="6" width="20.28515625" style="293" customWidth="1"/>
    <col min="7" max="7" width="22.5703125" style="293" customWidth="1"/>
    <col min="8" max="16384" width="8.7109375" style="293"/>
  </cols>
  <sheetData>
    <row r="1" spans="1:6" ht="58.5" thickBot="1" x14ac:dyDescent="0.4">
      <c r="A1" s="79" t="s">
        <v>1286</v>
      </c>
      <c r="B1" s="80" t="s">
        <v>389</v>
      </c>
      <c r="C1" s="80" t="s">
        <v>390</v>
      </c>
      <c r="D1" s="129" t="s">
        <v>1285</v>
      </c>
      <c r="E1" s="129" t="s">
        <v>1271</v>
      </c>
      <c r="F1" s="130" t="s">
        <v>1272</v>
      </c>
    </row>
    <row r="2" spans="1:6" ht="14.45" x14ac:dyDescent="0.35">
      <c r="A2" s="353" t="s">
        <v>358</v>
      </c>
      <c r="B2" s="354">
        <v>2</v>
      </c>
      <c r="C2" s="355">
        <v>2</v>
      </c>
      <c r="D2" s="356">
        <f>SUM('All Summaries'!AM62,'All Summaries'!AM63)</f>
        <v>14578467</v>
      </c>
      <c r="E2" s="357">
        <f>SUM('All Summaries'!Z62,'All Summaries'!Z63)</f>
        <v>6800</v>
      </c>
      <c r="F2" s="358">
        <f>SUM('All Summaries'!Z63)</f>
        <v>1800</v>
      </c>
    </row>
    <row r="3" spans="1:6" thickBot="1" x14ac:dyDescent="0.4">
      <c r="A3" s="333" t="s">
        <v>1024</v>
      </c>
      <c r="B3" s="359">
        <v>1</v>
      </c>
      <c r="C3" s="359">
        <v>1</v>
      </c>
      <c r="D3" s="360">
        <f>SUM('All Summaries'!AM64)</f>
        <v>2448444</v>
      </c>
      <c r="E3" s="361">
        <f>SUM('All Summaries'!Z64)</f>
        <v>4200</v>
      </c>
      <c r="F3" s="362">
        <v>0</v>
      </c>
    </row>
    <row r="4" spans="1:6" thickBot="1" x14ac:dyDescent="0.4">
      <c r="A4" s="363" t="s">
        <v>391</v>
      </c>
      <c r="B4" s="313">
        <f>SUM(B2:B3)</f>
        <v>3</v>
      </c>
      <c r="C4" s="313">
        <f>SUM(C2:C3)</f>
        <v>3</v>
      </c>
      <c r="D4" s="364">
        <f>SUM(D2:D3)</f>
        <v>17026911</v>
      </c>
      <c r="E4" s="365">
        <f>SUM(E2:E3)</f>
        <v>11000</v>
      </c>
      <c r="F4" s="375">
        <f>SUM(F2:F3)</f>
        <v>1800</v>
      </c>
    </row>
    <row r="6" spans="1:6" thickBot="1" x14ac:dyDescent="0.4"/>
    <row r="7" spans="1:6" thickBot="1" x14ac:dyDescent="0.4">
      <c r="A7" s="79" t="s">
        <v>392</v>
      </c>
      <c r="B7" s="129" t="s">
        <v>566</v>
      </c>
      <c r="C7" s="129" t="s">
        <v>567</v>
      </c>
      <c r="D7" s="129" t="s">
        <v>1284</v>
      </c>
      <c r="E7" s="130" t="s">
        <v>1283</v>
      </c>
    </row>
    <row r="8" spans="1:6" ht="14.45" x14ac:dyDescent="0.35">
      <c r="A8" s="366" t="s">
        <v>189</v>
      </c>
      <c r="B8" s="367">
        <f>SUM('All Summaries'!S62,'All Summaries'!S64)</f>
        <v>1400</v>
      </c>
      <c r="C8" s="367">
        <f>SUM('All Summaries'!U62,'All Summaries'!U63,'All Summaries'!U64)</f>
        <v>4000</v>
      </c>
      <c r="D8" s="367">
        <f>SUM('All Summaries'!W62,'All Summaries'!W63,'All Summaries'!W64)</f>
        <v>5000</v>
      </c>
      <c r="E8" s="384">
        <f>SUM(B8:D8)</f>
        <v>10400</v>
      </c>
    </row>
    <row r="9" spans="1:6" thickBot="1" x14ac:dyDescent="0.4">
      <c r="A9" s="368" t="s">
        <v>111</v>
      </c>
      <c r="B9" s="369">
        <f>SUM('All Summaries'!S63)</f>
        <v>600</v>
      </c>
      <c r="C9" s="369">
        <f>SUM('All Summaries'!U63)</f>
        <v>600</v>
      </c>
      <c r="D9" s="369">
        <f>SUM('All Summaries'!W63)</f>
        <v>600</v>
      </c>
      <c r="E9" s="385">
        <f t="shared" ref="E9" si="0">SUM(B9:D9)</f>
        <v>1800</v>
      </c>
    </row>
    <row r="10" spans="1:6" thickBot="1" x14ac:dyDescent="0.4">
      <c r="A10" s="363" t="s">
        <v>391</v>
      </c>
      <c r="B10" s="370">
        <f>SUM(B8:B9)</f>
        <v>2000</v>
      </c>
      <c r="C10" s="370">
        <f t="shared" ref="C10:D10" si="1">SUM(C8:C9)</f>
        <v>4600</v>
      </c>
      <c r="D10" s="377">
        <f t="shared" si="1"/>
        <v>5600</v>
      </c>
      <c r="E10" s="376">
        <f>SUM(B10:D10)</f>
        <v>12200</v>
      </c>
    </row>
    <row r="12" spans="1:6" thickBot="1" x14ac:dyDescent="0.4">
      <c r="A12" s="371" t="s">
        <v>570</v>
      </c>
      <c r="B12" s="371"/>
      <c r="C12" s="371"/>
      <c r="D12" s="371"/>
      <c r="E12" s="382"/>
      <c r="F12" s="382"/>
    </row>
    <row r="13" spans="1:6" ht="79.5" customHeight="1" thickBot="1" x14ac:dyDescent="0.4">
      <c r="A13" s="326" t="s">
        <v>393</v>
      </c>
      <c r="B13" s="102" t="s">
        <v>1274</v>
      </c>
      <c r="C13" s="102" t="s">
        <v>1287</v>
      </c>
      <c r="D13" s="383" t="s">
        <v>571</v>
      </c>
      <c r="E13" s="294"/>
      <c r="F13" s="294"/>
    </row>
    <row r="14" spans="1:6" x14ac:dyDescent="0.25">
      <c r="A14" s="870" t="s">
        <v>358</v>
      </c>
      <c r="B14" s="328">
        <v>1</v>
      </c>
      <c r="C14" s="328">
        <v>1</v>
      </c>
      <c r="D14" s="378">
        <f t="shared" ref="D14:D19" si="2">SUM(B14:C14)</f>
        <v>2</v>
      </c>
    </row>
    <row r="15" spans="1:6" x14ac:dyDescent="0.25">
      <c r="A15" s="871"/>
      <c r="B15" s="276">
        <f>SUM('All Summaries'!AM62)</f>
        <v>13084388</v>
      </c>
      <c r="C15" s="329">
        <f>SUM('All Summaries'!AM63)</f>
        <v>1494079</v>
      </c>
      <c r="D15" s="379">
        <f t="shared" si="2"/>
        <v>14578467</v>
      </c>
    </row>
    <row r="16" spans="1:6" x14ac:dyDescent="0.25">
      <c r="A16" s="872" t="s">
        <v>1024</v>
      </c>
      <c r="B16" s="270">
        <v>1</v>
      </c>
      <c r="C16" s="270"/>
      <c r="D16" s="378">
        <f t="shared" si="2"/>
        <v>1</v>
      </c>
    </row>
    <row r="17" spans="1:4" ht="15.75" thickBot="1" x14ac:dyDescent="0.3">
      <c r="A17" s="871"/>
      <c r="B17" s="276">
        <f>SUM('All Summaries'!AM64)</f>
        <v>2448444</v>
      </c>
      <c r="C17" s="270"/>
      <c r="D17" s="379">
        <f t="shared" si="2"/>
        <v>2448444</v>
      </c>
    </row>
    <row r="18" spans="1:4" x14ac:dyDescent="0.25">
      <c r="A18" s="868" t="s">
        <v>391</v>
      </c>
      <c r="B18" s="372">
        <f>SUM(B14+B16)</f>
        <v>2</v>
      </c>
      <c r="C18" s="372">
        <f>SUM(C14,C16)</f>
        <v>1</v>
      </c>
      <c r="D18" s="380">
        <f t="shared" si="2"/>
        <v>3</v>
      </c>
    </row>
    <row r="19" spans="1:4" ht="15.75" thickBot="1" x14ac:dyDescent="0.3">
      <c r="A19" s="869"/>
      <c r="B19" s="373">
        <f>SUM(B15,B17)</f>
        <v>15532832</v>
      </c>
      <c r="C19" s="373">
        <f>SUM(C15,C17)</f>
        <v>1494079</v>
      </c>
      <c r="D19" s="381">
        <f t="shared" si="2"/>
        <v>17026911</v>
      </c>
    </row>
  </sheetData>
  <mergeCells count="3">
    <mergeCell ref="A18:A19"/>
    <mergeCell ref="A14:A15"/>
    <mergeCell ref="A16:A17"/>
  </mergeCells>
  <pageMargins left="0.7" right="0.7" top="0.75" bottom="0.75" header="0.3" footer="0.3"/>
  <pageSetup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HH Internet Page" ma:contentTypeID="0x010100C568DB52D9D0A14D9B2FDCC96666E9F2007948130EC3DB064584E219954237AF390064DEA0F50FC8C147B0B6EA0636C4A7D40091D93D3A3C99514781B979AD8F860E9F00BE82889BE1BDD848B726159F5C60437E" ma:contentTypeVersion="4" ma:contentTypeDescription="Use this content type for HH Internet Pages" ma:contentTypeScope="" ma:versionID="9276fe12368026e8777a6a1d15c64c24">
  <xsd:schema xmlns:xsd="http://www.w3.org/2001/XMLSchema" xmlns:xs="http://www.w3.org/2001/XMLSchema" xmlns:p="http://schemas.microsoft.com/office/2006/metadata/properties" xmlns:ns1="http://schemas.microsoft.com/sharepoint/v3" xmlns:ns2="15fed199-785c-41dd-80c4-b4119d809082" targetNamespace="http://schemas.microsoft.com/office/2006/metadata/properties" ma:root="true" ma:fieldsID="8047f53ef6ede3b09b52281f86f5955a" ns1:_="" ns2:_="">
    <xsd:import namespace="http://schemas.microsoft.com/sharepoint/v3"/>
    <xsd:import namespace="15fed199-785c-41dd-80c4-b4119d809082"/>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PublishingPageImage" minOccurs="0"/>
                <xsd:element ref="ns1:PublishingPageContent" minOccurs="0"/>
                <xsd:element ref="ns1:SummaryLinks" minOccurs="0"/>
                <xsd:element ref="ns1:SummaryLinks2" minOccurs="0"/>
                <xsd:element ref="ns1:SeoBrowserTitle" minOccurs="0"/>
                <xsd:element ref="ns1:SeoMetaDescription" minOccurs="0"/>
                <xsd:element ref="ns1:SeoKeywords" minOccurs="0"/>
                <xsd:element ref="ns1:SeoRobotsNoIndex" minOccurs="0"/>
                <xsd:element ref="ns2:n0ad17990ad2453a88de36febbeb5246" minOccurs="0"/>
                <xsd:element ref="ns2:TaxCatchAll" minOccurs="0"/>
                <xsd:element ref="ns2:TaxCatchAllLabel" minOccurs="0"/>
                <xsd:element ref="ns2:j0297349de644f78885f8b6d038b017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PublishingPageImage" ma:index="21" nillable="true" ma:displayName="Page Image" ma:description="Page Image is a site column created by the Publishing feature. It is used on the Article Page Content Type as the primary image of the page." ma:internalName="PublishingPageImage">
      <xsd:simpleType>
        <xsd:restriction base="dms:Unknown"/>
      </xsd:simpleType>
    </xsd:element>
    <xsd:element name="PublishingPageContent" ma:index="22" nillable="true" ma:displayName="Page Content" ma:description="Page Content is a site column created by the Publishing feature. It is used on the Article Page Content Type as the content of the page." ma:internalName="PublishingPageContent">
      <xsd:simpleType>
        <xsd:restriction base="dms:Unknown"/>
      </xsd:simpleType>
    </xsd:element>
    <xsd:element name="SummaryLinks" ma:index="23" nillable="true" ma:displayName="Summary Links" ma:description="Summary Links is a site column created by the Publishing feature. It is used on the Welcome Page Content Type to display a set of links." ma:internalName="SummaryLinks">
      <xsd:simpleType>
        <xsd:restriction base="dms:Unknown"/>
      </xsd:simpleType>
    </xsd:element>
    <xsd:element name="SummaryLinks2" ma:index="24" nillable="true" ma:displayName="Summary Links 2" ma:description="Summary Links 2 is a site column created by the Publishing feature. It is used on the Welcome Page Content Type to display a second set of links." ma:internalName="SummaryLinks2">
      <xsd:simpleType>
        <xsd:restriction base="dms:Unknown"/>
      </xsd:simpleType>
    </xsd:element>
    <xsd:element name="SeoBrowserTitle" ma:index="25"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6"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7" nillable="true" ma:displayName="Meta Keywords" ma:description="Meta Keywords" ma:hidden="true" ma:internalName="SeoKeywords">
      <xsd:simpleType>
        <xsd:restriction base="dms:Text"/>
      </xsd:simpleType>
    </xsd:element>
    <xsd:element name="SeoRobotsNoIndex" ma:index="28"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5fed199-785c-41dd-80c4-b4119d809082" elementFormDefault="qualified">
    <xsd:import namespace="http://schemas.microsoft.com/office/2006/documentManagement/types"/>
    <xsd:import namespace="http://schemas.microsoft.com/office/infopath/2007/PartnerControls"/>
    <xsd:element name="n0ad17990ad2453a88de36febbeb5246" ma:index="29" nillable="true" ma:taxonomy="true" ma:internalName="n0ad17990ad2453a88de36febbeb5246" ma:taxonomyFieldName="Content_x0020_Category" ma:displayName="Content Category" ma:default="" ma:fieldId="{70ad1799-0ad2-453a-88de-36febbeb5246}" ma:sspId="83025100-e092-4eee-b8f9-de1558fda12b" ma:termSetId="45bfa73c-3066-4496-84b5-9f18580c3984" ma:anchorId="00000000-0000-0000-0000-000000000000" ma:open="false" ma:isKeyword="false">
      <xsd:complexType>
        <xsd:sequence>
          <xsd:element ref="pc:Terms" minOccurs="0" maxOccurs="1"/>
        </xsd:sequence>
      </xsd:complexType>
    </xsd:element>
    <xsd:element name="TaxCatchAll" ma:index="30" nillable="true" ma:displayName="Taxonomy Catch All Column" ma:hidden="true" ma:list="{2fbeeb42-babd-4756-ab38-55319f2cea4e}" ma:internalName="TaxCatchAll" ma:showField="CatchAllData" ma:web="26bf5321-1145-4024-8fe4-7684367eb814">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2fbeeb42-babd-4756-ab38-55319f2cea4e}" ma:internalName="TaxCatchAllLabel" ma:readOnly="true" ma:showField="CatchAllDataLabel" ma:web="26bf5321-1145-4024-8fe4-7684367eb814">
      <xsd:complexType>
        <xsd:complexContent>
          <xsd:extension base="dms:MultiChoiceLookup">
            <xsd:sequence>
              <xsd:element name="Value" type="dms:Lookup" maxOccurs="unbounded" minOccurs="0" nillable="true"/>
            </xsd:sequence>
          </xsd:extension>
        </xsd:complexContent>
      </xsd:complexType>
    </xsd:element>
    <xsd:element name="j0297349de644f78885f8b6d038b0176" ma:index="33" nillable="true" ma:taxonomy="true" ma:internalName="j0297349de644f78885f8b6d038b0176" ma:taxonomyFieldName="Topic" ma:displayName="Content Topic" ma:default="" ma:fieldId="{30297349-de64-4f78-885f-8b6d038b0176}" ma:sspId="83025100-e092-4eee-b8f9-de1558fda12b" ma:termSetId="e168c475-9642-4e66-817f-8e041aab076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3025100-e092-4eee-b8f9-de1558fda12b" ContentTypeId="0x010100C568DB52D9D0A14D9B2FDCC96666E9F2007948130EC3DB064584E219954237AF390064DEA0F50FC8C147B0B6EA0636C4A7D40091D93D3A3C99514781B979AD8F860E9F"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j0297349de644f78885f8b6d038b0176 xmlns="15fed199-785c-41dd-80c4-b4119d809082">
      <Terms xmlns="http://schemas.microsoft.com/office/infopath/2007/PartnerControls"/>
    </j0297349de644f78885f8b6d038b0176>
    <PublishingRollupImage xmlns="http://schemas.microsoft.com/sharepoint/v3" xsi:nil="true"/>
    <PublishingContactEmail xmlns="http://schemas.microsoft.com/sharepoint/v3" xsi:nil="true"/>
    <PublishingVariationRelationshipLinkFieldID xmlns="http://schemas.microsoft.com/sharepoint/v3">
      <Url xsi:nil="true"/>
      <Description xsi:nil="true"/>
    </PublishingVariationRelationshipLinkFieldID>
    <PublishingPageContent xmlns="http://schemas.microsoft.com/sharepoint/v3" xsi:nil="true"/>
    <SeoKeywords xmlns="http://schemas.microsoft.com/sharepoint/v3" xsi:nil="true"/>
    <PublishingVariationGroupID xmlns="http://schemas.microsoft.com/sharepoint/v3" xsi:nil="true"/>
    <SummaryLinks2 xmlns="http://schemas.microsoft.com/sharepoint/v3" xsi:nil="true"/>
    <Audience xmlns="http://schemas.microsoft.com/sharepoint/v3" xsi:nil="true"/>
    <PublishingIsFurlPage xmlns="http://schemas.microsoft.com/sharepoint/v3" xsi:nil="true"/>
    <PublishingPageImage xmlns="http://schemas.microsoft.com/sharepoint/v3" xsi:nil="true"/>
    <SummaryLinks xmlns="http://schemas.microsoft.com/sharepoint/v3" xsi:nil="true"/>
    <PublishingExpirationDate xmlns="http://schemas.microsoft.com/sharepoint/v3" xsi:nil="true"/>
    <SeoBrowserTitle xmlns="http://schemas.microsoft.com/sharepoint/v3" xsi:nil="true"/>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n0ad17990ad2453a88de36febbeb5246 xmlns="15fed199-785c-41dd-80c4-b4119d809082">
      <Terms xmlns="http://schemas.microsoft.com/office/infopath/2007/PartnerControls"/>
    </n0ad17990ad2453a88de36febbeb5246>
    <TaxCatchAll xmlns="15fed199-785c-41dd-80c4-b4119d809082"/>
    <PublishingContact xmlns="http://schemas.microsoft.com/sharepoint/v3">
      <UserInfo>
        <DisplayName/>
        <AccountId xsi:nil="true"/>
        <AccountType/>
      </UserInfo>
    </PublishingContact>
    <PublishingContactName xmlns="http://schemas.microsoft.com/sharepoint/v3" xsi:nil="true"/>
    <Comments xmlns="http://schemas.microsoft.com/sharepoint/v3" xsi:nil="true"/>
  </documentManagement>
</p:properties>
</file>

<file path=customXml/itemProps1.xml><?xml version="1.0" encoding="utf-8"?>
<ds:datastoreItem xmlns:ds="http://schemas.openxmlformats.org/officeDocument/2006/customXml" ds:itemID="{CB027544-5D6A-452A-A256-E023F7AFA691}"/>
</file>

<file path=customXml/itemProps2.xml><?xml version="1.0" encoding="utf-8"?>
<ds:datastoreItem xmlns:ds="http://schemas.openxmlformats.org/officeDocument/2006/customXml" ds:itemID="{07ACB3AD-0F4D-4C4F-9803-E075AD10FBCB}"/>
</file>

<file path=customXml/itemProps3.xml><?xml version="1.0" encoding="utf-8"?>
<ds:datastoreItem xmlns:ds="http://schemas.openxmlformats.org/officeDocument/2006/customXml" ds:itemID="{0D419F66-F167-4587-B4E5-A4319A8384E0}"/>
</file>

<file path=customXml/itemProps4.xml><?xml version="1.0" encoding="utf-8"?>
<ds:datastoreItem xmlns:ds="http://schemas.openxmlformats.org/officeDocument/2006/customXml" ds:itemID="{890DC481-75E0-4C9B-BF74-BB95DBE55A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All Summaries</vt:lpstr>
      <vt:lpstr>QPI Analysis</vt:lpstr>
      <vt:lpstr>Goals</vt:lpstr>
      <vt:lpstr>Unreported Baselines</vt:lpstr>
      <vt:lpstr>Cat 3 Measures</vt:lpstr>
      <vt:lpstr>BH (T+G)</vt:lpstr>
      <vt:lpstr>CC (T+G)</vt:lpstr>
      <vt:lpstr>Navigation (T+G)</vt:lpstr>
      <vt:lpstr>EC (T+G)</vt:lpstr>
      <vt:lpstr>PC (T+G)</vt:lpstr>
      <vt:lpstr>SC (T+G)</vt:lpstr>
      <vt:lpstr>P&amp;W (T+G)</vt:lpstr>
      <vt:lpstr>General (T+G)</vt:lpstr>
      <vt:lpstr>All Tables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2017-05-25T16:43:43Z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0x010104007746B344426FF34E9F9132BF10B1DBD8</vt:lpwstr>
  </property>
  <property fmtid="{D5CDD505-2E9C-101B-9397-08002B2CF9AE}" pid="3" name="Content Category">
    <vt:lpwstr/>
  </property>
  <property fmtid="{D5CDD505-2E9C-101B-9397-08002B2CF9AE}" pid="4" name="Topic">
    <vt:lpwstr/>
  </property>
  <property fmtid="{D5CDD505-2E9C-101B-9397-08002B2CF9AE}" pid="5" name="Order">
    <vt:r8>96500</vt:r8>
  </property>
</Properties>
</file>